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olo TFR" sheetId="1" state="visible" r:id="rId1"/>
    <sheet xmlns:r="http://schemas.openxmlformats.org/officeDocument/2006/relationships" name="Storico Mensile" sheetId="2" state="visible" r:id="rId2"/>
    <sheet xmlns:r="http://schemas.openxmlformats.org/officeDocument/2006/relationships" name="Simulatore" sheetId="3" state="visible" r:id="rId3"/>
    <sheet xmlns:r="http://schemas.openxmlformats.org/officeDocument/2006/relationships" name="Istruzioni" sheetId="4" state="visible" r:id="rId4"/>
  </sheets>
  <definedNames>
    <definedName name="_xlnm.Print_Titles" localSheetId="0">'Calcolo TFR'!1:4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&quot;€&quot;"/>
    <numFmt numFmtId="165" formatCode="0.00&quot;%&quot;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64748B"/>
      <sz val="9"/>
    </font>
    <font>
      <name val="Calibri"/>
      <b val="1"/>
      <color rgb="000F766E"/>
      <sz val="12"/>
    </font>
    <font>
      <name val="Calibri"/>
      <b val="1"/>
      <color rgb="001E293B"/>
      <sz val="10"/>
    </font>
    <font>
      <name val="Calibri"/>
      <color rgb="001E293B"/>
      <sz val="10"/>
    </font>
    <font>
      <name val="Calibri"/>
      <b val="1"/>
      <color rgb="00FFFFFF"/>
      <sz val="11"/>
    </font>
    <font>
      <name val="Calibri"/>
      <b val="1"/>
      <color rgb="001A6B3A"/>
      <sz val="10"/>
    </font>
    <font>
      <name val="Calibri"/>
      <b val="1"/>
      <color rgb="0092400E"/>
      <sz val="10"/>
    </font>
  </fonts>
  <fills count="10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E0F7F5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14B8A6"/>
      </patternFill>
    </fill>
  </fills>
  <borders count="12">
    <border>
      <left/>
      <right/>
      <top/>
      <bottom/>
      <diagonal/>
    </border>
    <border>
      <top style="medium">
        <color rgb="000F766E"/>
      </top>
      <bottom style="medium">
        <color rgb="000F766E"/>
      </bottom>
    </border>
    <border>
      <left style="medium">
        <color rgb="000F766E"/>
      </left>
      <bottom style="thin">
        <color rgb="00CBD5E1"/>
      </bottom>
    </border>
    <border>
      <bottom style="medium">
        <color rgb="000F766E"/>
      </bottom>
    </border>
    <border>
      <left/>
      <right/>
      <top/>
      <bottom style="medium">
        <color rgb="000F766E"/>
      </bottom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  <border>
      <left style="thin">
        <color rgb="00CBD5E1"/>
      </left>
      <right style="thin">
        <color rgb="00CBD5E1"/>
      </right>
      <top style="medium">
        <color rgb="000F766E"/>
      </top>
      <bottom style="medium">
        <color rgb="000F766E"/>
      </bottom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</borders>
  <cellStyleXfs count="1">
    <xf numFmtId="0" fontId="0" fillId="0" borderId="0"/>
  </cellStyleXfs>
  <cellXfs count="4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2" fillId="3" borderId="0" applyAlignment="1" pivotButton="0" quotePrefix="0" xfId="0">
      <alignment horizontal="left" vertical="center" wrapText="1"/>
    </xf>
    <xf numFmtId="0" fontId="2" fillId="3" borderId="0" applyAlignment="1" pivotButton="0" quotePrefix="0" xfId="0">
      <alignment horizontal="right" vertical="center"/>
    </xf>
    <xf numFmtId="0" fontId="3" fillId="4" borderId="3" applyAlignment="1" pivotButton="0" quotePrefix="0" xfId="0">
      <alignment horizontal="left" vertical="center" wrapText="1"/>
    </xf>
    <xf numFmtId="0" fontId="0" fillId="0" borderId="4" pivotButton="0" quotePrefix="0" xfId="0"/>
    <xf numFmtId="0" fontId="4" fillId="5" borderId="5" applyAlignment="1" pivotButton="0" quotePrefix="0" xfId="0">
      <alignment horizontal="left" vertical="center" wrapText="1"/>
    </xf>
    <xf numFmtId="0" fontId="0" fillId="5" borderId="5" pivotButton="0" quotePrefix="0" xfId="0"/>
    <xf numFmtId="0" fontId="5" fillId="6" borderId="5" applyAlignment="1" pivotButton="0" quotePrefix="0" xfId="0">
      <alignment horizontal="left" vertical="center" wrapText="1"/>
    </xf>
    <xf numFmtId="0" fontId="0" fillId="6" borderId="5" pivotButton="0" quotePrefix="0" xfId="0"/>
    <xf numFmtId="0" fontId="5" fillId="3" borderId="5" applyAlignment="1" pivotButton="0" quotePrefix="0" xfId="0">
      <alignment horizontal="left" vertical="center" wrapText="1"/>
    </xf>
    <xf numFmtId="0" fontId="0" fillId="3" borderId="5" pivotButton="0" quotePrefix="0" xfId="0"/>
    <xf numFmtId="0" fontId="4" fillId="7" borderId="5" applyAlignment="1" pivotButton="0" quotePrefix="0" xfId="0">
      <alignment horizontal="left" vertical="center" wrapText="1"/>
    </xf>
    <xf numFmtId="0" fontId="0" fillId="7" borderId="5" pivotButton="0" quotePrefix="0" xfId="0"/>
    <xf numFmtId="0" fontId="6" fillId="2" borderId="10" applyAlignment="1" pivotButton="0" quotePrefix="0" xfId="0">
      <alignment horizontal="center" vertical="center" wrapText="1"/>
    </xf>
    <xf numFmtId="0" fontId="4" fillId="5" borderId="5" applyAlignment="1" pivotButton="0" quotePrefix="0" xfId="0">
      <alignment horizontal="center" vertical="center"/>
    </xf>
    <xf numFmtId="164" fontId="5" fillId="6" borderId="5" applyAlignment="1" pivotButton="0" quotePrefix="0" xfId="0">
      <alignment horizontal="right" vertical="center"/>
    </xf>
    <xf numFmtId="164" fontId="5" fillId="5" borderId="5" applyAlignment="1" pivotButton="0" quotePrefix="0" xfId="0">
      <alignment horizontal="right" vertical="center"/>
    </xf>
    <xf numFmtId="164" fontId="4" fillId="5" borderId="5" applyAlignment="1" pivotButton="0" quotePrefix="0" xfId="0">
      <alignment horizontal="right" vertical="center"/>
    </xf>
    <xf numFmtId="0" fontId="4" fillId="3" borderId="5" applyAlignment="1" pivotButton="0" quotePrefix="0" xfId="0">
      <alignment horizontal="center" vertical="center"/>
    </xf>
    <xf numFmtId="164" fontId="5" fillId="3" borderId="5" applyAlignment="1" pivotButton="0" quotePrefix="0" xfId="0">
      <alignment horizontal="right" vertical="center"/>
    </xf>
    <xf numFmtId="164" fontId="4" fillId="7" borderId="5" applyAlignment="1" pivotButton="0" quotePrefix="0" xfId="0">
      <alignment horizontal="right" vertical="center"/>
    </xf>
    <xf numFmtId="0" fontId="6" fillId="2" borderId="11" applyAlignment="1" pivotButton="0" quotePrefix="0" xfId="0">
      <alignment horizontal="center" vertical="center" wrapText="1"/>
    </xf>
    <xf numFmtId="0" fontId="0" fillId="2" borderId="11" pivotButton="0" quotePrefix="0" xfId="0"/>
    <xf numFmtId="164" fontId="6" fillId="2" borderId="11" applyAlignment="1" pivotButton="0" quotePrefix="0" xfId="0">
      <alignment horizontal="right" vertical="center"/>
    </xf>
    <xf numFmtId="164" fontId="7" fillId="7" borderId="5" applyAlignment="1" pivotButton="0" quotePrefix="0" xfId="0">
      <alignment horizontal="right" vertical="center"/>
    </xf>
    <xf numFmtId="164" fontId="8" fillId="8" borderId="5" applyAlignment="1" pivotButton="0" quotePrefix="0" xfId="0">
      <alignment horizontal="right" vertical="center"/>
    </xf>
    <xf numFmtId="0" fontId="0" fillId="8" borderId="5" pivotButton="0" quotePrefix="0" xfId="0"/>
    <xf numFmtId="165" fontId="5" fillId="6" borderId="5" applyAlignment="1" pivotButton="0" quotePrefix="0" xfId="0">
      <alignment horizontal="right" vertical="center"/>
    </xf>
    <xf numFmtId="0" fontId="5" fillId="5" borderId="5" applyAlignment="1" pivotButton="0" quotePrefix="0" xfId="0">
      <alignment horizontal="left" vertical="center" wrapText="1"/>
    </xf>
    <xf numFmtId="0" fontId="6" fillId="2" borderId="5" applyAlignment="1" pivotButton="0" quotePrefix="0" xfId="0">
      <alignment horizontal="left" vertical="center" wrapText="1"/>
    </xf>
    <xf numFmtId="0" fontId="0" fillId="2" borderId="5" pivotButton="0" quotePrefix="0" xfId="0"/>
    <xf numFmtId="0" fontId="2" fillId="5" borderId="5" applyAlignment="1" pivotButton="0" quotePrefix="0" xfId="0">
      <alignment horizontal="left" vertical="center" wrapText="1"/>
    </xf>
    <xf numFmtId="0" fontId="2" fillId="3" borderId="5" applyAlignment="1" pivotButton="0" quotePrefix="0" xfId="0">
      <alignment horizontal="left" vertical="center" wrapText="1"/>
    </xf>
    <xf numFmtId="0" fontId="1" fillId="2" borderId="0" applyAlignment="1" pivotButton="0" quotePrefix="0" xfId="0">
      <alignment horizontal="center" vertical="center" wrapText="1"/>
    </xf>
    <xf numFmtId="0" fontId="0" fillId="2" borderId="0" pivotButton="0" quotePrefix="0" xfId="0"/>
    <xf numFmtId="0" fontId="5" fillId="5" borderId="5" applyAlignment="1" pivotButton="0" quotePrefix="0" xfId="0">
      <alignment horizontal="center" vertical="center"/>
    </xf>
    <xf numFmtId="0" fontId="5" fillId="3" borderId="5" applyAlignment="1" pivotButton="0" quotePrefix="0" xfId="0">
      <alignment horizontal="center" vertical="center"/>
    </xf>
    <xf numFmtId="0" fontId="4" fillId="3" borderId="5" applyAlignment="1" pivotButton="0" quotePrefix="0" xfId="0">
      <alignment horizontal="left" vertical="center" wrapText="1"/>
    </xf>
    <xf numFmtId="1" fontId="5" fillId="6" borderId="5" applyAlignment="1" pivotButton="0" quotePrefix="0" xfId="0">
      <alignment horizontal="right" vertical="center"/>
    </xf>
    <xf numFmtId="10" fontId="5" fillId="6" borderId="5" applyAlignment="1" pivotButton="0" quotePrefix="0" xfId="0">
      <alignment horizontal="right" vertical="center"/>
    </xf>
    <xf numFmtId="0" fontId="6" fillId="2" borderId="11" applyAlignment="1" pivotButton="0" quotePrefix="0" xfId="0">
      <alignment horizontal="left" vertical="center" wrapText="1"/>
    </xf>
    <xf numFmtId="0" fontId="8" fillId="8" borderId="11" applyAlignment="1" pivotButton="0" quotePrefix="0" xfId="0">
      <alignment horizontal="left" vertical="center" wrapText="1"/>
    </xf>
    <xf numFmtId="0" fontId="0" fillId="8" borderId="11" pivotButton="0" quotePrefix="0" xfId="0"/>
    <xf numFmtId="164" fontId="8" fillId="8" borderId="11" applyAlignment="1" pivotButton="0" quotePrefix="0" xfId="0">
      <alignment horizontal="right" vertical="center"/>
    </xf>
    <xf numFmtId="0" fontId="6" fillId="9" borderId="5" applyAlignment="1" pivotButton="0" quotePrefix="0" xfId="0">
      <alignment horizontal="center" vertical="center"/>
    </xf>
    <xf numFmtId="0" fontId="0" fillId="9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F766E"/>
    <outlinePr summaryBelow="1" summaryRight="1"/>
    <pageSetUpPr/>
  </sheetPr>
  <dimension ref="B2:H41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2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2" customWidth="1" min="9" max="9"/>
  </cols>
  <sheetData>
    <row r="1" ht="8" customHeight="1"/>
    <row r="2" ht="48" customHeight="1">
      <c r="B2" s="1" t="inlineStr">
        <is>
          <t>CALCOLO TFR — TRATTAMENTO DI FINE RAPPORTO</t>
        </is>
      </c>
      <c r="C2" s="2" t="n"/>
      <c r="D2" s="2" t="n"/>
      <c r="E2" s="2" t="n"/>
      <c r="F2" s="2" t="n"/>
      <c r="G2" s="2" t="n"/>
      <c r="H2" s="2" t="n"/>
    </row>
    <row r="3" ht="8" customHeight="1"/>
    <row r="4">
      <c r="B4" s="3" t="inlineStr">
        <is>
          <t>Elaborato il: 09/03/2026</t>
        </is>
      </c>
      <c r="E4" s="4" t="inlineStr">
        <is>
          <t>Strumento di simulazione — Valori orientativi</t>
        </is>
      </c>
    </row>
    <row r="6" ht="22" customHeight="1">
      <c r="B6" s="5" t="inlineStr">
        <is>
          <t>① DATI ANAGRAFICI E CONTRATTUALI</t>
        </is>
      </c>
      <c r="C6" s="6" t="n"/>
      <c r="D6" s="6" t="n"/>
      <c r="E6" s="6" t="n"/>
      <c r="F6" s="6" t="n"/>
      <c r="G6" s="6" t="n"/>
      <c r="H6" s="6" t="n"/>
    </row>
    <row r="7" ht="20" customHeight="1">
      <c r="B7" s="7" t="inlineStr">
        <is>
          <t>Cognome e Nome del Dipendente</t>
        </is>
      </c>
      <c r="C7" s="8" t="n"/>
      <c r="D7" s="8" t="n"/>
      <c r="E7" s="9" t="n"/>
      <c r="F7" s="10" t="n"/>
      <c r="G7" s="10" t="n"/>
      <c r="H7" s="10" t="n"/>
    </row>
    <row r="8" ht="20" customHeight="1">
      <c r="B8" s="11" t="inlineStr">
        <is>
          <t>Codice Fiscale</t>
        </is>
      </c>
      <c r="C8" s="12" t="n"/>
      <c r="D8" s="12" t="n"/>
      <c r="E8" s="9" t="n"/>
      <c r="F8" s="10" t="n"/>
      <c r="G8" s="10" t="n"/>
      <c r="H8" s="10" t="n"/>
    </row>
    <row r="9" ht="20" customHeight="1">
      <c r="B9" s="7" t="inlineStr">
        <is>
          <t>Categoria contrattuale</t>
        </is>
      </c>
      <c r="C9" s="8" t="n"/>
      <c r="D9" s="8" t="n"/>
      <c r="E9" s="9" t="inlineStr">
        <is>
          <t>Impiegato</t>
        </is>
      </c>
      <c r="F9" s="10" t="n"/>
      <c r="G9" s="10" t="n"/>
      <c r="H9" s="10" t="n"/>
    </row>
    <row r="10" ht="20" customHeight="1">
      <c r="B10" s="11" t="inlineStr">
        <is>
          <t>Data di assunzione (gg/mm/aaaa)</t>
        </is>
      </c>
      <c r="C10" s="12" t="n"/>
      <c r="D10" s="12" t="n"/>
      <c r="E10" s="9" t="n"/>
      <c r="F10" s="10" t="n"/>
      <c r="G10" s="10" t="n"/>
      <c r="H10" s="10" t="n"/>
    </row>
    <row r="11" ht="20" customHeight="1">
      <c r="B11" s="7" t="inlineStr">
        <is>
          <t>Data di cessazione / Oggi</t>
        </is>
      </c>
      <c r="C11" s="8" t="n"/>
      <c r="D11" s="8" t="n"/>
      <c r="E11" s="9" t="inlineStr">
        <is>
          <t>09/03/2026</t>
        </is>
      </c>
      <c r="F11" s="10" t="n"/>
      <c r="G11" s="10" t="n"/>
      <c r="H11" s="10" t="n"/>
    </row>
    <row r="12" ht="20" customHeight="1">
      <c r="B12" s="11" t="inlineStr">
        <is>
          <t>Motivo cessazione</t>
        </is>
      </c>
      <c r="C12" s="12" t="n"/>
      <c r="D12" s="12" t="n"/>
      <c r="E12" s="9" t="inlineStr">
        <is>
          <t>Dimissioni volontarie</t>
        </is>
      </c>
      <c r="F12" s="10" t="n"/>
      <c r="G12" s="10" t="n"/>
      <c r="H12" s="10" t="n"/>
    </row>
    <row r="13" ht="20" customHeight="1">
      <c r="B13" s="7" t="inlineStr">
        <is>
          <t>Anzianità di servizio (anni calc.)</t>
        </is>
      </c>
      <c r="C13" s="8" t="n"/>
      <c r="D13" s="8" t="n"/>
      <c r="E13" s="13">
        <f>IF(AND(E10&lt;&gt;"",E11&lt;&gt;""),DATEDIF(DATEVALUE(E10),DATEVALUE(E11),"Y")&amp;" anni "&amp;DATEDIF(DATEVALUE(E10),DATEVALUE(E11),"YM")&amp;" mesi","")</f>
        <v/>
      </c>
      <c r="F13" s="14" t="n"/>
      <c r="G13" s="14" t="n"/>
      <c r="H13" s="14" t="n"/>
    </row>
    <row r="15" ht="22" customHeight="1">
      <c r="B15" s="5" t="inlineStr">
        <is>
          <t>② RETRIBUZIONE ANNUA E ACCANTONAMENTO TFR</t>
        </is>
      </c>
      <c r="C15" s="6" t="n"/>
      <c r="D15" s="6" t="n"/>
      <c r="E15" s="6" t="n"/>
      <c r="F15" s="6" t="n"/>
      <c r="G15" s="6" t="n"/>
      <c r="H15" s="6" t="n"/>
    </row>
    <row r="16" ht="28" customHeight="1">
      <c r="B16" s="15" t="inlineStr">
        <is>
          <t>Anno</t>
        </is>
      </c>
      <c r="C16" s="15" t="inlineStr">
        <is>
          <t>Retribuzione
Annua Lorda (€)</t>
        </is>
      </c>
      <c r="D16" s="15" t="inlineStr">
        <is>
          <t>Quota TFR
Accantonata (€)
(RAL ÷ 13,5)</t>
        </is>
      </c>
      <c r="E16" s="15" t="inlineStr">
        <is>
          <t>Rivalutazione
Applicata (€)</t>
        </is>
      </c>
      <c r="F16" s="15" t="inlineStr">
        <is>
          <t>Anticipi
Erogati (€)</t>
        </is>
      </c>
      <c r="G16" s="15" t="inlineStr">
        <is>
          <t>TFR Netto
Anno (€)</t>
        </is>
      </c>
      <c r="H16" s="15" t="inlineStr">
        <is>
          <t>TFR Cumulato
(€)</t>
        </is>
      </c>
    </row>
    <row r="17" ht="20" customHeight="1">
      <c r="B17" s="16" t="n">
        <v>2021</v>
      </c>
      <c r="C17" s="17" t="n">
        <v>28000</v>
      </c>
      <c r="D17" s="18">
        <f>C17/13.5</f>
        <v/>
      </c>
      <c r="E17" s="18" t="n">
        <v>0</v>
      </c>
      <c r="F17" s="17" t="n">
        <v>0</v>
      </c>
      <c r="G17" s="18">
        <f>D17+E17-F17</f>
        <v/>
      </c>
      <c r="H17" s="19">
        <f>G17</f>
        <v/>
      </c>
    </row>
    <row r="18" ht="20" customHeight="1">
      <c r="B18" s="20" t="n">
        <v>2022</v>
      </c>
      <c r="C18" s="17" t="n">
        <v>29000</v>
      </c>
      <c r="D18" s="21">
        <f>C18/13.5</f>
        <v/>
      </c>
      <c r="E18" s="21">
        <f>ROUND(G17*1.5%+G17*0.75%,2)</f>
        <v/>
      </c>
      <c r="F18" s="17" t="n">
        <v>0</v>
      </c>
      <c r="G18" s="21">
        <f>D18+E18-F18</f>
        <v/>
      </c>
      <c r="H18" s="22">
        <f>H17+G18</f>
        <v/>
      </c>
    </row>
    <row r="19" ht="20" customHeight="1">
      <c r="B19" s="16" t="n">
        <v>2023</v>
      </c>
      <c r="C19" s="17" t="n">
        <v>30000</v>
      </c>
      <c r="D19" s="18">
        <f>C19/13.5</f>
        <v/>
      </c>
      <c r="E19" s="18">
        <f>ROUND(G18*1.5%+G18*0.75%,2)</f>
        <v/>
      </c>
      <c r="F19" s="17" t="n">
        <v>0</v>
      </c>
      <c r="G19" s="18">
        <f>D19+E19-F19</f>
        <v/>
      </c>
      <c r="H19" s="19">
        <f>H18+G19</f>
        <v/>
      </c>
    </row>
    <row r="20" ht="20" customHeight="1">
      <c r="B20" s="20" t="n">
        <v>2024</v>
      </c>
      <c r="C20" s="17" t="n">
        <v>31500</v>
      </c>
      <c r="D20" s="21">
        <f>C20/13.5</f>
        <v/>
      </c>
      <c r="E20" s="21">
        <f>ROUND(G19*1.5%+G19*0.75%,2)</f>
        <v/>
      </c>
      <c r="F20" s="17" t="n">
        <v>0</v>
      </c>
      <c r="G20" s="21">
        <f>D20+E20-F20</f>
        <v/>
      </c>
      <c r="H20" s="22">
        <f>H19+G20</f>
        <v/>
      </c>
    </row>
    <row r="21" ht="20" customHeight="1">
      <c r="B21" s="16" t="n">
        <v>2025</v>
      </c>
      <c r="C21" s="17" t="n">
        <v>32000</v>
      </c>
      <c r="D21" s="18">
        <f>C21/13.5</f>
        <v/>
      </c>
      <c r="E21" s="18">
        <f>ROUND(G20*1.5%+G20*0.75%,2)</f>
        <v/>
      </c>
      <c r="F21" s="17" t="n">
        <v>0</v>
      </c>
      <c r="G21" s="18">
        <f>D21+E21-F21</f>
        <v/>
      </c>
      <c r="H21" s="19">
        <f>H20+G21</f>
        <v/>
      </c>
    </row>
    <row r="22" ht="20" customHeight="1">
      <c r="B22" s="20" t="n">
        <v>2026</v>
      </c>
      <c r="C22" s="17" t="n">
        <v>32000</v>
      </c>
      <c r="D22" s="21">
        <f>C22/13.5</f>
        <v/>
      </c>
      <c r="E22" s="21">
        <f>ROUND(G21*1.5%+G21*0.75%,2)</f>
        <v/>
      </c>
      <c r="F22" s="17" t="n">
        <v>0</v>
      </c>
      <c r="G22" s="21">
        <f>D22+E22-F22</f>
        <v/>
      </c>
      <c r="H22" s="22">
        <f>H21+G22</f>
        <v/>
      </c>
    </row>
    <row r="23" ht="24" customHeight="1">
      <c r="B23" s="23" t="inlineStr">
        <is>
          <t>TOTALE</t>
        </is>
      </c>
      <c r="C23" s="24" t="n"/>
      <c r="D23" s="25">
        <f>SUM(D17:D22)</f>
        <v/>
      </c>
      <c r="E23" s="25">
        <f>SUM(E17:E22)</f>
        <v/>
      </c>
      <c r="F23" s="25">
        <f>SUM(F17:F22)</f>
        <v/>
      </c>
      <c r="G23" s="25">
        <f>SUM(G17:G22)</f>
        <v/>
      </c>
      <c r="H23" s="25">
        <f>H22</f>
        <v/>
      </c>
    </row>
    <row r="25" ht="22" customHeight="1">
      <c r="B25" s="5" t="inlineStr">
        <is>
          <t>③ RIEPILOGO TFR MATURATO E TASSAZIONE</t>
        </is>
      </c>
      <c r="C25" s="6" t="n"/>
      <c r="D25" s="6" t="n"/>
      <c r="E25" s="6" t="n"/>
      <c r="F25" s="6" t="n"/>
      <c r="G25" s="6" t="n"/>
      <c r="H25" s="6" t="n"/>
    </row>
    <row r="27" ht="22" customHeight="1">
      <c r="B27" s="7" t="inlineStr">
        <is>
          <t>TFR Lordo Maturato (somma accantonamenti + rivalutazioni)</t>
        </is>
      </c>
      <c r="C27" s="8" t="n"/>
      <c r="D27" s="8" t="n"/>
      <c r="E27" s="8" t="n"/>
      <c r="F27" s="26">
        <f>H23</f>
        <v/>
      </c>
      <c r="G27" s="14" t="n"/>
      <c r="H27" s="14" t="n"/>
    </row>
    <row r="28" ht="22" customHeight="1">
      <c r="B28" s="11" t="inlineStr">
        <is>
          <t>Anticipi già erogati al dipendente</t>
        </is>
      </c>
      <c r="C28" s="12" t="n"/>
      <c r="D28" s="12" t="n"/>
      <c r="E28" s="12" t="n"/>
      <c r="F28" s="27">
        <f>F23</f>
        <v/>
      </c>
      <c r="G28" s="28" t="n"/>
      <c r="H28" s="28" t="n"/>
    </row>
    <row r="29" ht="22" customHeight="1">
      <c r="B29" s="7" t="inlineStr">
        <is>
          <t>TFR Residuo da erogare</t>
        </is>
      </c>
      <c r="C29" s="8" t="n"/>
      <c r="D29" s="8" t="n"/>
      <c r="E29" s="8" t="n"/>
      <c r="F29" s="26">
        <f>B28-B29</f>
        <v/>
      </c>
      <c r="G29" s="14" t="n"/>
      <c r="H29" s="14" t="n"/>
    </row>
    <row r="30" ht="22" customHeight="1">
      <c r="B30" s="11" t="inlineStr">
        <is>
          <t>Aliquota media IRPEF applicabile (%)</t>
        </is>
      </c>
      <c r="C30" s="12" t="n"/>
      <c r="D30" s="12" t="n"/>
      <c r="E30" s="12" t="n"/>
      <c r="F30" s="29" t="n">
        <v>23</v>
      </c>
      <c r="G30" s="10" t="n"/>
      <c r="H30" s="10" t="n"/>
    </row>
    <row r="31" ht="22" customHeight="1">
      <c r="B31" s="30" t="inlineStr">
        <is>
          <t>Imposta stimata sul TFR</t>
        </is>
      </c>
      <c r="C31" s="8" t="n"/>
      <c r="D31" s="8" t="n"/>
      <c r="E31" s="8" t="n"/>
      <c r="F31" s="27">
        <f>B28*B30/100</f>
        <v/>
      </c>
      <c r="G31" s="28" t="n"/>
      <c r="H31" s="28" t="n"/>
    </row>
    <row r="32" ht="22" customHeight="1">
      <c r="B32" s="31" t="inlineStr">
        <is>
          <t>TFR NETTO STIMATO DA PERCEPIRE</t>
        </is>
      </c>
      <c r="C32" s="32" t="n"/>
      <c r="D32" s="32" t="n"/>
      <c r="E32" s="32" t="n"/>
      <c r="F32" s="25">
        <f>B28-B31</f>
        <v/>
      </c>
      <c r="G32" s="24" t="n"/>
      <c r="H32" s="24" t="n"/>
    </row>
    <row r="35" ht="22" customHeight="1">
      <c r="B35" s="5" t="inlineStr">
        <is>
          <t>④ NOTE SUL CALCOLO TFR (art. 2120 C.C.)</t>
        </is>
      </c>
      <c r="C35" s="6" t="n"/>
      <c r="D35" s="6" t="n"/>
      <c r="E35" s="6" t="n"/>
      <c r="F35" s="6" t="n"/>
      <c r="G35" s="6" t="n"/>
      <c r="H35" s="6" t="n"/>
    </row>
    <row r="36" ht="18" customHeight="1">
      <c r="B36" s="33" t="inlineStr">
        <is>
          <t>• Il TFR si calcola accantonando ogni anno una quota pari alla RETRIBUZIONE ANNUA LORDA divisa per 13,5 (coeff. legale).</t>
        </is>
      </c>
      <c r="C36" s="8" t="n"/>
      <c r="D36" s="8" t="n"/>
      <c r="E36" s="8" t="n"/>
      <c r="F36" s="8" t="n"/>
      <c r="G36" s="8" t="n"/>
      <c r="H36" s="8" t="n"/>
    </row>
    <row r="37" ht="18" customHeight="1">
      <c r="B37" s="34" t="inlineStr">
        <is>
          <t>• La rivalutazione annua si applica al 31 dicembre di ogni anno: tasso fisso 1,5% + 75% dell'inflazione ISTAT (indice FOI).</t>
        </is>
      </c>
      <c r="C37" s="12" t="n"/>
      <c r="D37" s="12" t="n"/>
      <c r="E37" s="12" t="n"/>
      <c r="F37" s="12" t="n"/>
      <c r="G37" s="12" t="n"/>
      <c r="H37" s="12" t="n"/>
    </row>
    <row r="38" ht="18" customHeight="1">
      <c r="B38" s="33" t="inlineStr">
        <is>
          <t>• Per i dipendenti con oltre 8 anni di servizio è possibile richiedere un anticipo max del 70% del TFR maturato (art. 2120 c.5 C.C.).</t>
        </is>
      </c>
      <c r="C38" s="8" t="n"/>
      <c r="D38" s="8" t="n"/>
      <c r="E38" s="8" t="n"/>
      <c r="F38" s="8" t="n"/>
      <c r="G38" s="8" t="n"/>
      <c r="H38" s="8" t="n"/>
    </row>
    <row r="39" ht="18" customHeight="1">
      <c r="B39" s="34" t="inlineStr">
        <is>
          <t>• La tassazione è separata: si applica l'aliquota media IRPEF degli ultimi 5 anni o, in alternativa, la tassazione ordinaria a scelta.</t>
        </is>
      </c>
      <c r="C39" s="12" t="n"/>
      <c r="D39" s="12" t="n"/>
      <c r="E39" s="12" t="n"/>
      <c r="F39" s="12" t="n"/>
      <c r="G39" s="12" t="n"/>
      <c r="H39" s="12" t="n"/>
    </row>
    <row r="40" ht="18" customHeight="1">
      <c r="B40" s="33" t="inlineStr">
        <is>
          <t>• Per i rapporti instaurati dopo il 28/4/1993 con aziende &gt;50 dipendenti, il TFR può essere destinato a Fondi Pensione.</t>
        </is>
      </c>
      <c r="C40" s="8" t="n"/>
      <c r="D40" s="8" t="n"/>
      <c r="E40" s="8" t="n"/>
      <c r="F40" s="8" t="n"/>
      <c r="G40" s="8" t="n"/>
      <c r="H40" s="8" t="n"/>
    </row>
    <row r="41" ht="18" customHeight="1">
      <c r="B41" s="34" t="inlineStr">
        <is>
          <t>• I valori in questa scheda sono STIME ORIENTATIVE. Per il calcolo definitivo verificare buste paga e comunicazioni INPS.</t>
        </is>
      </c>
      <c r="C41" s="12" t="n"/>
      <c r="D41" s="12" t="n"/>
      <c r="E41" s="12" t="n"/>
      <c r="F41" s="12" t="n"/>
      <c r="G41" s="12" t="n"/>
      <c r="H41" s="12" t="n"/>
    </row>
  </sheetData>
  <mergeCells count="40">
    <mergeCell ref="B2:H2"/>
    <mergeCell ref="B4:D4"/>
    <mergeCell ref="E4:H4"/>
    <mergeCell ref="B6:H6"/>
    <mergeCell ref="B7:D7"/>
    <mergeCell ref="E7:H7"/>
    <mergeCell ref="B8:D8"/>
    <mergeCell ref="E8:H8"/>
    <mergeCell ref="B9:D9"/>
    <mergeCell ref="E9:H9"/>
    <mergeCell ref="B10:D10"/>
    <mergeCell ref="E10:H10"/>
    <mergeCell ref="B11:D11"/>
    <mergeCell ref="E11:H11"/>
    <mergeCell ref="B12:D12"/>
    <mergeCell ref="E12:H12"/>
    <mergeCell ref="B13:D13"/>
    <mergeCell ref="E13:H13"/>
    <mergeCell ref="B15:H15"/>
    <mergeCell ref="B23:C23"/>
    <mergeCell ref="B25:H25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5:H35"/>
    <mergeCell ref="B36:H36"/>
    <mergeCell ref="B37:H37"/>
    <mergeCell ref="B38:H38"/>
    <mergeCell ref="B39:H39"/>
    <mergeCell ref="B40:H40"/>
    <mergeCell ref="B41:H41"/>
  </mergeCells>
  <dataValidations count="2">
    <dataValidation sqref="E12" showErrorMessage="1" showDropDown="0" showInputMessage="1" allowBlank="1" type="list">
      <formula1>"Dimissioni volontarie,Licenziamento,Pensionamento,Scadenza contratto,Decesso,Altro"</formula1>
    </dataValidation>
    <dataValidation sqref="E8" showErrorMessage="1" showDropDown="0" showInputMessage="1" allowBlank="1" type="list">
      <formula1>"Operaio,Impiegato,Quadro,Dirigente"</formula1>
    </dataValidation>
  </dataValidations>
  <pageMargins left="0.5" right="0.5" top="0.7" bottom="0.7" header="0.5" footer="0.5"/>
  <pageSetup orientation="landscape" paperSize="9"/>
</worksheet>
</file>

<file path=xl/worksheets/sheet2.xml><?xml version="1.0" encoding="utf-8"?>
<worksheet xmlns="http://schemas.openxmlformats.org/spreadsheetml/2006/main">
  <sheetPr>
    <tabColor rgb="0014B8A6"/>
    <outlinePr summaryBelow="1" summaryRight="1"/>
    <pageSetUpPr/>
  </sheetPr>
  <dimension ref="B2:I20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12" customWidth="1" min="2" max="2"/>
    <col width="16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2" customWidth="1" min="9" max="9"/>
  </cols>
  <sheetData>
    <row r="1" ht="8" customHeight="1"/>
    <row r="2" ht="44" customHeight="1">
      <c r="B2" s="35" t="inlineStr">
        <is>
          <t>STORICO MENSILE ACCANTONAMENTO TFR</t>
        </is>
      </c>
      <c r="C2" s="36" t="n"/>
      <c r="D2" s="36" t="n"/>
      <c r="E2" s="36" t="n"/>
      <c r="F2" s="36" t="n"/>
      <c r="G2" s="36" t="n"/>
      <c r="H2" s="36" t="n"/>
    </row>
    <row r="3" ht="8" customHeight="1"/>
    <row r="4" ht="28" customHeight="1">
      <c r="B4" s="15" t="inlineStr">
        <is>
          <t>Anno</t>
        </is>
      </c>
      <c r="C4" s="15" t="inlineStr">
        <is>
          <t>Mese</t>
        </is>
      </c>
      <c r="D4" s="15" t="inlineStr">
        <is>
          <t>Retrib.
Mensile (€)</t>
        </is>
      </c>
      <c r="E4" s="15" t="inlineStr">
        <is>
          <t>Quota TFR
Mensile (€)</t>
        </is>
      </c>
      <c r="F4" s="15" t="inlineStr">
        <is>
          <t>Rivalut.
Mensile (€)</t>
        </is>
      </c>
      <c r="G4" s="15" t="inlineStr">
        <is>
          <t>Anticipo
Erogato (€)</t>
        </is>
      </c>
      <c r="H4" s="15" t="inlineStr">
        <is>
          <t>TFR
Mese (€)</t>
        </is>
      </c>
      <c r="I4" s="15" t="inlineStr">
        <is>
          <t>TFR
Cumulato (€)</t>
        </is>
      </c>
    </row>
    <row r="5" ht="18" customHeight="1">
      <c r="B5" s="37" t="n">
        <v>2025</v>
      </c>
      <c r="C5" s="30" t="inlineStr">
        <is>
          <t>Gennaio</t>
        </is>
      </c>
      <c r="D5" s="17" t="n">
        <v>2500</v>
      </c>
      <c r="E5" s="18">
        <f>D5/13.5</f>
        <v/>
      </c>
      <c r="F5" s="18" t="n">
        <v>0</v>
      </c>
      <c r="G5" s="17" t="n">
        <v>0</v>
      </c>
      <c r="H5" s="18">
        <f>E5+F5-G5</f>
        <v/>
      </c>
      <c r="I5" s="19">
        <f>H5</f>
        <v/>
      </c>
    </row>
    <row r="6" ht="18" customHeight="1">
      <c r="B6" s="38" t="n">
        <v>2025</v>
      </c>
      <c r="C6" s="11" t="inlineStr">
        <is>
          <t>Febbraio</t>
        </is>
      </c>
      <c r="D6" s="17" t="n">
        <v>2500</v>
      </c>
      <c r="E6" s="21">
        <f>D6/13.5</f>
        <v/>
      </c>
      <c r="F6" s="21">
        <f>ROUND(H5*0.0225/12,2)</f>
        <v/>
      </c>
      <c r="G6" s="17" t="n">
        <v>0</v>
      </c>
      <c r="H6" s="21">
        <f>E6+F6-G6</f>
        <v/>
      </c>
      <c r="I6" s="22">
        <f>I5+H6</f>
        <v/>
      </c>
    </row>
    <row r="7" ht="18" customHeight="1">
      <c r="B7" s="37" t="n">
        <v>2025</v>
      </c>
      <c r="C7" s="30" t="inlineStr">
        <is>
          <t>Marzo</t>
        </is>
      </c>
      <c r="D7" s="17" t="n">
        <v>2500</v>
      </c>
      <c r="E7" s="18">
        <f>D7/13.5</f>
        <v/>
      </c>
      <c r="F7" s="18">
        <f>ROUND(H6*0.0225/12,2)</f>
        <v/>
      </c>
      <c r="G7" s="17" t="n">
        <v>0</v>
      </c>
      <c r="H7" s="18">
        <f>E7+F7-G7</f>
        <v/>
      </c>
      <c r="I7" s="19">
        <f>I6+H7</f>
        <v/>
      </c>
    </row>
    <row r="8" ht="18" customHeight="1">
      <c r="B8" s="38" t="n">
        <v>2025</v>
      </c>
      <c r="C8" s="11" t="inlineStr">
        <is>
          <t>Aprile</t>
        </is>
      </c>
      <c r="D8" s="17" t="n">
        <v>2500</v>
      </c>
      <c r="E8" s="21">
        <f>D8/13.5</f>
        <v/>
      </c>
      <c r="F8" s="21">
        <f>ROUND(H7*0.0225/12,2)</f>
        <v/>
      </c>
      <c r="G8" s="17" t="n">
        <v>0</v>
      </c>
      <c r="H8" s="21">
        <f>E8+F8-G8</f>
        <v/>
      </c>
      <c r="I8" s="22">
        <f>I7+H8</f>
        <v/>
      </c>
    </row>
    <row r="9" ht="18" customHeight="1">
      <c r="B9" s="37" t="n">
        <v>2025</v>
      </c>
      <c r="C9" s="30" t="inlineStr">
        <is>
          <t>Maggio</t>
        </is>
      </c>
      <c r="D9" s="17" t="n">
        <v>2500</v>
      </c>
      <c r="E9" s="18">
        <f>D9/13.5</f>
        <v/>
      </c>
      <c r="F9" s="18">
        <f>ROUND(H8*0.0225/12,2)</f>
        <v/>
      </c>
      <c r="G9" s="17" t="n">
        <v>0</v>
      </c>
      <c r="H9" s="18">
        <f>E9+F9-G9</f>
        <v/>
      </c>
      <c r="I9" s="19">
        <f>I8+H9</f>
        <v/>
      </c>
    </row>
    <row r="10" ht="18" customHeight="1">
      <c r="B10" s="38" t="n">
        <v>2025</v>
      </c>
      <c r="C10" s="11" t="inlineStr">
        <is>
          <t>Giugno</t>
        </is>
      </c>
      <c r="D10" s="17" t="n">
        <v>2500</v>
      </c>
      <c r="E10" s="21">
        <f>D10/13.5</f>
        <v/>
      </c>
      <c r="F10" s="21">
        <f>ROUND(H9*0.0225/12,2)</f>
        <v/>
      </c>
      <c r="G10" s="17" t="n">
        <v>0</v>
      </c>
      <c r="H10" s="21">
        <f>E10+F10-G10</f>
        <v/>
      </c>
      <c r="I10" s="22">
        <f>I9+H10</f>
        <v/>
      </c>
    </row>
    <row r="11" ht="18" customHeight="1">
      <c r="B11" s="37" t="n">
        <v>2025</v>
      </c>
      <c r="C11" s="30" t="inlineStr">
        <is>
          <t>Luglio</t>
        </is>
      </c>
      <c r="D11" s="17" t="n">
        <v>2500</v>
      </c>
      <c r="E11" s="18">
        <f>D11/13.5</f>
        <v/>
      </c>
      <c r="F11" s="18">
        <f>ROUND(H10*0.0225/12,2)</f>
        <v/>
      </c>
      <c r="G11" s="17" t="n">
        <v>0</v>
      </c>
      <c r="H11" s="18">
        <f>E11+F11-G11</f>
        <v/>
      </c>
      <c r="I11" s="19">
        <f>I10+H11</f>
        <v/>
      </c>
    </row>
    <row r="12" ht="18" customHeight="1">
      <c r="B12" s="38" t="n">
        <v>2025</v>
      </c>
      <c r="C12" s="11" t="inlineStr">
        <is>
          <t>Agosto</t>
        </is>
      </c>
      <c r="D12" s="17" t="n">
        <v>2500</v>
      </c>
      <c r="E12" s="21">
        <f>D12/13.5</f>
        <v/>
      </c>
      <c r="F12" s="21">
        <f>ROUND(H11*0.0225/12,2)</f>
        <v/>
      </c>
      <c r="G12" s="17" t="n">
        <v>0</v>
      </c>
      <c r="H12" s="21">
        <f>E12+F12-G12</f>
        <v/>
      </c>
      <c r="I12" s="22">
        <f>I11+H12</f>
        <v/>
      </c>
    </row>
    <row r="13" ht="18" customHeight="1">
      <c r="B13" s="37" t="n">
        <v>2025</v>
      </c>
      <c r="C13" s="30" t="inlineStr">
        <is>
          <t>Settembre</t>
        </is>
      </c>
      <c r="D13" s="17" t="n">
        <v>2500</v>
      </c>
      <c r="E13" s="18">
        <f>D13/13.5</f>
        <v/>
      </c>
      <c r="F13" s="18">
        <f>ROUND(H12*0.0225/12,2)</f>
        <v/>
      </c>
      <c r="G13" s="17" t="n">
        <v>0</v>
      </c>
      <c r="H13" s="18">
        <f>E13+F13-G13</f>
        <v/>
      </c>
      <c r="I13" s="19">
        <f>I12+H13</f>
        <v/>
      </c>
    </row>
    <row r="14" ht="18" customHeight="1">
      <c r="B14" s="38" t="n">
        <v>2025</v>
      </c>
      <c r="C14" s="11" t="inlineStr">
        <is>
          <t>Ottobre</t>
        </is>
      </c>
      <c r="D14" s="17" t="n">
        <v>2500</v>
      </c>
      <c r="E14" s="21">
        <f>D14/13.5</f>
        <v/>
      </c>
      <c r="F14" s="21">
        <f>ROUND(H13*0.0225/12,2)</f>
        <v/>
      </c>
      <c r="G14" s="17" t="n">
        <v>0</v>
      </c>
      <c r="H14" s="21">
        <f>E14+F14-G14</f>
        <v/>
      </c>
      <c r="I14" s="22">
        <f>I13+H14</f>
        <v/>
      </c>
    </row>
    <row r="15" ht="18" customHeight="1">
      <c r="B15" s="37" t="n">
        <v>2025</v>
      </c>
      <c r="C15" s="30" t="inlineStr">
        <is>
          <t>Novembre</t>
        </is>
      </c>
      <c r="D15" s="17" t="n">
        <v>2500</v>
      </c>
      <c r="E15" s="18">
        <f>D15/13.5</f>
        <v/>
      </c>
      <c r="F15" s="18">
        <f>ROUND(H14*0.0225/12,2)</f>
        <v/>
      </c>
      <c r="G15" s="17" t="n">
        <v>0</v>
      </c>
      <c r="H15" s="18">
        <f>E15+F15-G15</f>
        <v/>
      </c>
      <c r="I15" s="19">
        <f>I14+H15</f>
        <v/>
      </c>
    </row>
    <row r="16" ht="18" customHeight="1">
      <c r="B16" s="38" t="n">
        <v>2025</v>
      </c>
      <c r="C16" s="11" t="inlineStr">
        <is>
          <t>Dicembre</t>
        </is>
      </c>
      <c r="D16" s="17" t="n">
        <v>2500</v>
      </c>
      <c r="E16" s="21">
        <f>D16/13.5</f>
        <v/>
      </c>
      <c r="F16" s="21">
        <f>ROUND(H15*0.0225/12,2)</f>
        <v/>
      </c>
      <c r="G16" s="17" t="n">
        <v>0</v>
      </c>
      <c r="H16" s="21">
        <f>E16+F16-G16</f>
        <v/>
      </c>
      <c r="I16" s="22">
        <f>I15+H16</f>
        <v/>
      </c>
    </row>
    <row r="17" ht="18" customHeight="1">
      <c r="B17" s="37" t="n">
        <v>2026</v>
      </c>
      <c r="C17" s="30" t="inlineStr">
        <is>
          <t>Gennaio</t>
        </is>
      </c>
      <c r="D17" s="17" t="n">
        <v>2666.67</v>
      </c>
      <c r="E17" s="18">
        <f>D17/13.5</f>
        <v/>
      </c>
      <c r="F17" s="18">
        <f>ROUND(H16*0.0225/12,2)</f>
        <v/>
      </c>
      <c r="G17" s="17" t="n">
        <v>0</v>
      </c>
      <c r="H17" s="18">
        <f>E17+F17-G17</f>
        <v/>
      </c>
      <c r="I17" s="19">
        <f>I16+H17</f>
        <v/>
      </c>
    </row>
    <row r="18" ht="18" customHeight="1">
      <c r="B18" s="38" t="n">
        <v>2026</v>
      </c>
      <c r="C18" s="11" t="inlineStr">
        <is>
          <t>Febbraio</t>
        </is>
      </c>
      <c r="D18" s="17" t="n">
        <v>2666.67</v>
      </c>
      <c r="E18" s="21">
        <f>D18/13.5</f>
        <v/>
      </c>
      <c r="F18" s="21">
        <f>ROUND(H17*0.0225/12,2)</f>
        <v/>
      </c>
      <c r="G18" s="17" t="n">
        <v>0</v>
      </c>
      <c r="H18" s="21">
        <f>E18+F18-G18</f>
        <v/>
      </c>
      <c r="I18" s="22">
        <f>I17+H18</f>
        <v/>
      </c>
    </row>
    <row r="19" ht="18" customHeight="1">
      <c r="B19" s="37" t="n">
        <v>2026</v>
      </c>
      <c r="C19" s="30" t="inlineStr">
        <is>
          <t>Marzo</t>
        </is>
      </c>
      <c r="D19" s="17" t="n">
        <v>2666.67</v>
      </c>
      <c r="E19" s="18">
        <f>D19/13.5</f>
        <v/>
      </c>
      <c r="F19" s="18">
        <f>ROUND(H18*0.0225/12,2)</f>
        <v/>
      </c>
      <c r="G19" s="17" t="n">
        <v>0</v>
      </c>
      <c r="H19" s="18">
        <f>E19+F19-G19</f>
        <v/>
      </c>
      <c r="I19" s="19">
        <f>I18+H19</f>
        <v/>
      </c>
    </row>
    <row r="20" ht="22" customHeight="1">
      <c r="B20" s="23" t="inlineStr">
        <is>
          <t>TOTALE</t>
        </is>
      </c>
      <c r="C20" s="24" t="n"/>
      <c r="D20" s="25">
        <f>SUM(D5:D19)</f>
        <v/>
      </c>
      <c r="E20" s="25">
        <f>SUM(E5:E19)</f>
        <v/>
      </c>
      <c r="F20" s="25">
        <f>SUM(F5:F19)</f>
        <v/>
      </c>
      <c r="G20" s="25">
        <f>SUM(G5:G19)</f>
        <v/>
      </c>
      <c r="H20" s="25">
        <f>SUM(H5:H19)</f>
        <v/>
      </c>
      <c r="I20" s="25">
        <f>I19</f>
        <v/>
      </c>
    </row>
  </sheetData>
  <mergeCells count="2">
    <mergeCell ref="B2:H2"/>
    <mergeCell ref="B20:C20"/>
  </mergeCells>
  <pageMargins left="0.75" right="0.75" top="1" bottom="1" header="0.5" footer="0.5"/>
  <pageSetup orientation="landscape" paperSize="9"/>
</worksheet>
</file>

<file path=xl/worksheets/sheet3.xml><?xml version="1.0" encoding="utf-8"?>
<worksheet xmlns="http://schemas.openxmlformats.org/spreadsheetml/2006/main">
  <sheetPr>
    <tabColor rgb="0014B8A6"/>
    <outlinePr summaryBelow="1" summaryRight="1"/>
    <pageSetUpPr/>
  </sheetPr>
  <dimension ref="B2:F46"/>
  <sheetViews>
    <sheetView showGridLines="0" workbookViewId="0">
      <pane xSplit="1" ySplit="8" topLeftCell="B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30" customWidth="1" min="2" max="2"/>
    <col width="18" customWidth="1" min="3" max="3"/>
    <col width="18" customWidth="1" min="4" max="4"/>
    <col width="18" customWidth="1" min="5" max="5"/>
    <col width="18" customWidth="1" min="6" max="6"/>
    <col width="2" customWidth="1" min="7" max="7"/>
  </cols>
  <sheetData>
    <row r="1" ht="8" customHeight="1"/>
    <row r="2" ht="44" customHeight="1">
      <c r="B2" s="35" t="inlineStr">
        <is>
          <t>SIMULATORE TFR — SCENARI ALTERNATIVI</t>
        </is>
      </c>
      <c r="C2" s="36" t="n"/>
      <c r="D2" s="36" t="n"/>
      <c r="E2" s="36" t="n"/>
      <c r="F2" s="36" t="n"/>
    </row>
    <row r="3" ht="8" customHeight="1"/>
    <row r="4" ht="22" customHeight="1">
      <c r="B4" s="5" t="inlineStr">
        <is>
          <t>PARAMETRI DI SIMULAZIONE</t>
        </is>
      </c>
      <c r="C4" s="6" t="n"/>
      <c r="D4" s="6" t="n"/>
      <c r="E4" s="6" t="n"/>
      <c r="F4" s="6" t="n"/>
    </row>
    <row r="5" ht="22" customHeight="1">
      <c r="B5" s="7" t="inlineStr">
        <is>
          <t>Retribuzione Annua Lorda (€)</t>
        </is>
      </c>
      <c r="C5" s="8" t="n"/>
      <c r="D5" s="17" t="n">
        <v>32000</v>
      </c>
      <c r="E5" s="10" t="n"/>
      <c r="F5" s="10" t="n"/>
    </row>
    <row r="6" ht="22" customHeight="1">
      <c r="B6" s="39" t="inlineStr">
        <is>
          <t>Anni di servizio da simulare</t>
        </is>
      </c>
      <c r="C6" s="12" t="n"/>
      <c r="D6" s="40" t="n">
        <v>10</v>
      </c>
      <c r="E6" s="10" t="n"/>
      <c r="F6" s="10" t="n"/>
    </row>
    <row r="7" ht="22" customHeight="1">
      <c r="B7" s="7" t="inlineStr">
        <is>
          <t>Tasso inflazione ISTAT stimato (%)</t>
        </is>
      </c>
      <c r="C7" s="8" t="n"/>
      <c r="D7" s="41" t="n">
        <v>2</v>
      </c>
      <c r="E7" s="10" t="n"/>
      <c r="F7" s="10" t="n"/>
    </row>
    <row r="8" ht="22" customHeight="1">
      <c r="B8" s="39" t="inlineStr">
        <is>
          <t>Aliquota IRPEF media applicabile (%)</t>
        </is>
      </c>
      <c r="C8" s="12" t="n"/>
      <c r="D8" s="41" t="n">
        <v>23</v>
      </c>
      <c r="E8" s="10" t="n"/>
      <c r="F8" s="10" t="n"/>
    </row>
    <row r="9" ht="22" customHeight="1">
      <c r="B9" s="7" t="inlineStr">
        <is>
          <t>Anticipi previsti totali (€)</t>
        </is>
      </c>
      <c r="C9" s="8" t="n"/>
      <c r="D9" s="17" t="n">
        <v>0</v>
      </c>
      <c r="E9" s="10" t="n"/>
      <c r="F9" s="10" t="n"/>
    </row>
    <row r="11" ht="22" customHeight="1">
      <c r="B11" s="5" t="inlineStr">
        <is>
          <t>PROIEZIONE ANNUALE TFR</t>
        </is>
      </c>
      <c r="C11" s="6" t="n"/>
      <c r="D11" s="6" t="n"/>
      <c r="E11" s="6" t="n"/>
      <c r="F11" s="6" t="n"/>
    </row>
    <row r="12" ht="28" customHeight="1">
      <c r="B12" s="15" t="inlineStr">
        <is>
          <t>Anno
Simulato</t>
        </is>
      </c>
      <c r="C12" s="15" t="inlineStr">
        <is>
          <t>TFR Accantonato
Anno (€)</t>
        </is>
      </c>
      <c r="D12" s="15" t="inlineStr">
        <is>
          <t>Rivalutazione
Anno (€)</t>
        </is>
      </c>
      <c r="E12" s="15" t="inlineStr">
        <is>
          <t>TFR Cumulato
Lordo (€)</t>
        </is>
      </c>
      <c r="F12" s="15" t="inlineStr">
        <is>
          <t>TFR Netto
Stimato (€)</t>
        </is>
      </c>
    </row>
    <row r="13" ht="18" customHeight="1">
      <c r="B13" s="37">
        <f>IF(D6&gt;=1,2026+0,"")</f>
        <v/>
      </c>
      <c r="C13" s="18">
        <f>IF(D6&gt;=1,D5/13.5,"")</f>
        <v/>
      </c>
      <c r="D13" s="18">
        <f>IF(D6&gt;=1,0,"")</f>
        <v/>
      </c>
      <c r="E13" s="19">
        <f>IF(D6&gt;=1,C13+D13,"")</f>
        <v/>
      </c>
      <c r="F13" s="19">
        <f>IF(D6&gt;=1,(E13-D9)*(1-D8/100),"")</f>
        <v/>
      </c>
    </row>
    <row r="14" ht="18" customHeight="1">
      <c r="B14" s="38">
        <f>IF(D6&gt;=2,2026+1,"")</f>
        <v/>
      </c>
      <c r="C14" s="21">
        <f>IF(D6&gt;=2,D5/13.5,"")</f>
        <v/>
      </c>
      <c r="D14" s="21">
        <f>IF(D6&gt;=2,ROUND(D13*(0.015+0.75*D7),2),"")</f>
        <v/>
      </c>
      <c r="E14" s="22">
        <f>IF(D6&gt;=2,E13+C14+D14,"")</f>
        <v/>
      </c>
      <c r="F14" s="22">
        <f>IF(D6&gt;=2,(E14-D9)*(1-D8/100),"")</f>
        <v/>
      </c>
    </row>
    <row r="15" ht="18" customHeight="1">
      <c r="B15" s="37">
        <f>IF(D6&gt;=3,2026+2,"")</f>
        <v/>
      </c>
      <c r="C15" s="18">
        <f>IF(D6&gt;=3,D5/13.5,"")</f>
        <v/>
      </c>
      <c r="D15" s="18">
        <f>IF(D6&gt;=3,ROUND(D14*(0.015+0.75*D7),2),"")</f>
        <v/>
      </c>
      <c r="E15" s="19">
        <f>IF(D6&gt;=3,E14+C15+D15,"")</f>
        <v/>
      </c>
      <c r="F15" s="19">
        <f>IF(D6&gt;=3,(E15-D9)*(1-D8/100),"")</f>
        <v/>
      </c>
    </row>
    <row r="16" ht="18" customHeight="1">
      <c r="B16" s="38">
        <f>IF(D6&gt;=4,2026+3,"")</f>
        <v/>
      </c>
      <c r="C16" s="21">
        <f>IF(D6&gt;=4,D5/13.5,"")</f>
        <v/>
      </c>
      <c r="D16" s="21">
        <f>IF(D6&gt;=4,ROUND(D15*(0.015+0.75*D7),2),"")</f>
        <v/>
      </c>
      <c r="E16" s="22">
        <f>IF(D6&gt;=4,E15+C16+D16,"")</f>
        <v/>
      </c>
      <c r="F16" s="22">
        <f>IF(D6&gt;=4,(E16-D9)*(1-D8/100),"")</f>
        <v/>
      </c>
    </row>
    <row r="17" ht="18" customHeight="1">
      <c r="B17" s="37">
        <f>IF(D6&gt;=5,2026+4,"")</f>
        <v/>
      </c>
      <c r="C17" s="18">
        <f>IF(D6&gt;=5,D5/13.5,"")</f>
        <v/>
      </c>
      <c r="D17" s="18">
        <f>IF(D6&gt;=5,ROUND(D16*(0.015+0.75*D7),2),"")</f>
        <v/>
      </c>
      <c r="E17" s="19">
        <f>IF(D6&gt;=5,E16+C17+D17,"")</f>
        <v/>
      </c>
      <c r="F17" s="19">
        <f>IF(D6&gt;=5,(E17-D9)*(1-D8/100),"")</f>
        <v/>
      </c>
    </row>
    <row r="18" ht="18" customHeight="1">
      <c r="B18" s="38">
        <f>IF(D6&gt;=6,2026+5,"")</f>
        <v/>
      </c>
      <c r="C18" s="21">
        <f>IF(D6&gt;=6,D5/13.5,"")</f>
        <v/>
      </c>
      <c r="D18" s="21">
        <f>IF(D6&gt;=6,ROUND(D17*(0.015+0.75*D7),2),"")</f>
        <v/>
      </c>
      <c r="E18" s="22">
        <f>IF(D6&gt;=6,E17+C18+D18,"")</f>
        <v/>
      </c>
      <c r="F18" s="22">
        <f>IF(D6&gt;=6,(E18-D9)*(1-D8/100),"")</f>
        <v/>
      </c>
    </row>
    <row r="19" ht="18" customHeight="1">
      <c r="B19" s="37">
        <f>IF(D6&gt;=7,2026+6,"")</f>
        <v/>
      </c>
      <c r="C19" s="18">
        <f>IF(D6&gt;=7,D5/13.5,"")</f>
        <v/>
      </c>
      <c r="D19" s="18">
        <f>IF(D6&gt;=7,ROUND(D18*(0.015+0.75*D7),2),"")</f>
        <v/>
      </c>
      <c r="E19" s="19">
        <f>IF(D6&gt;=7,E18+C19+D19,"")</f>
        <v/>
      </c>
      <c r="F19" s="19">
        <f>IF(D6&gt;=7,(E19-D9)*(1-D8/100),"")</f>
        <v/>
      </c>
    </row>
    <row r="20" ht="18" customHeight="1">
      <c r="B20" s="38">
        <f>IF(D6&gt;=8,2026+7,"")</f>
        <v/>
      </c>
      <c r="C20" s="21">
        <f>IF(D6&gt;=8,D5/13.5,"")</f>
        <v/>
      </c>
      <c r="D20" s="21">
        <f>IF(D6&gt;=8,ROUND(D19*(0.015+0.75*D7),2),"")</f>
        <v/>
      </c>
      <c r="E20" s="22">
        <f>IF(D6&gt;=8,E19+C20+D20,"")</f>
        <v/>
      </c>
      <c r="F20" s="22">
        <f>IF(D6&gt;=8,(E20-D9)*(1-D8/100),"")</f>
        <v/>
      </c>
    </row>
    <row r="21" ht="18" customHeight="1">
      <c r="B21" s="37">
        <f>IF(D6&gt;=9,2026+8,"")</f>
        <v/>
      </c>
      <c r="C21" s="18">
        <f>IF(D6&gt;=9,D5/13.5,"")</f>
        <v/>
      </c>
      <c r="D21" s="18">
        <f>IF(D6&gt;=9,ROUND(D20*(0.015+0.75*D7),2),"")</f>
        <v/>
      </c>
      <c r="E21" s="19">
        <f>IF(D6&gt;=9,E20+C21+D21,"")</f>
        <v/>
      </c>
      <c r="F21" s="19">
        <f>IF(D6&gt;=9,(E21-D9)*(1-D8/100),"")</f>
        <v/>
      </c>
    </row>
    <row r="22" ht="18" customHeight="1">
      <c r="B22" s="38">
        <f>IF(D6&gt;=10,2026+9,"")</f>
        <v/>
      </c>
      <c r="C22" s="21">
        <f>IF(D6&gt;=10,D5/13.5,"")</f>
        <v/>
      </c>
      <c r="D22" s="21">
        <f>IF(D6&gt;=10,ROUND(D21*(0.015+0.75*D7),2),"")</f>
        <v/>
      </c>
      <c r="E22" s="22">
        <f>IF(D6&gt;=10,E21+C22+D22,"")</f>
        <v/>
      </c>
      <c r="F22" s="22">
        <f>IF(D6&gt;=10,(E22-D9)*(1-D8/100),"")</f>
        <v/>
      </c>
    </row>
    <row r="23" ht="18" customHeight="1">
      <c r="B23" s="37">
        <f>IF(D6&gt;=11,2026+10,"")</f>
        <v/>
      </c>
      <c r="C23" s="18">
        <f>IF(D6&gt;=11,D5/13.5,"")</f>
        <v/>
      </c>
      <c r="D23" s="18">
        <f>IF(D6&gt;=11,ROUND(D22*(0.015+0.75*D7),2),"")</f>
        <v/>
      </c>
      <c r="E23" s="19">
        <f>IF(D6&gt;=11,E22+C23+D23,"")</f>
        <v/>
      </c>
      <c r="F23" s="19">
        <f>IF(D6&gt;=11,(E23-D9)*(1-D8/100),"")</f>
        <v/>
      </c>
    </row>
    <row r="24" ht="18" customHeight="1">
      <c r="B24" s="38">
        <f>IF(D6&gt;=12,2026+11,"")</f>
        <v/>
      </c>
      <c r="C24" s="21">
        <f>IF(D6&gt;=12,D5/13.5,"")</f>
        <v/>
      </c>
      <c r="D24" s="21">
        <f>IF(D6&gt;=12,ROUND(D23*(0.015+0.75*D7),2),"")</f>
        <v/>
      </c>
      <c r="E24" s="22">
        <f>IF(D6&gt;=12,E23+C24+D24,"")</f>
        <v/>
      </c>
      <c r="F24" s="22">
        <f>IF(D6&gt;=12,(E24-D9)*(1-D8/100),"")</f>
        <v/>
      </c>
    </row>
    <row r="25" ht="18" customHeight="1">
      <c r="B25" s="37">
        <f>IF(D6&gt;=13,2026+12,"")</f>
        <v/>
      </c>
      <c r="C25" s="18">
        <f>IF(D6&gt;=13,D5/13.5,"")</f>
        <v/>
      </c>
      <c r="D25" s="18">
        <f>IF(D6&gt;=13,ROUND(D24*(0.015+0.75*D7),2),"")</f>
        <v/>
      </c>
      <c r="E25" s="19">
        <f>IF(D6&gt;=13,E24+C25+D25,"")</f>
        <v/>
      </c>
      <c r="F25" s="19">
        <f>IF(D6&gt;=13,(E25-D9)*(1-D8/100),"")</f>
        <v/>
      </c>
    </row>
    <row r="26" ht="18" customHeight="1">
      <c r="B26" s="38">
        <f>IF(D6&gt;=14,2026+13,"")</f>
        <v/>
      </c>
      <c r="C26" s="21">
        <f>IF(D6&gt;=14,D5/13.5,"")</f>
        <v/>
      </c>
      <c r="D26" s="21">
        <f>IF(D6&gt;=14,ROUND(D25*(0.015+0.75*D7),2),"")</f>
        <v/>
      </c>
      <c r="E26" s="22">
        <f>IF(D6&gt;=14,E25+C26+D26,"")</f>
        <v/>
      </c>
      <c r="F26" s="22">
        <f>IF(D6&gt;=14,(E26-D9)*(1-D8/100),"")</f>
        <v/>
      </c>
    </row>
    <row r="27" ht="18" customHeight="1">
      <c r="B27" s="37">
        <f>IF(D6&gt;=15,2026+14,"")</f>
        <v/>
      </c>
      <c r="C27" s="18">
        <f>IF(D6&gt;=15,D5/13.5,"")</f>
        <v/>
      </c>
      <c r="D27" s="18">
        <f>IF(D6&gt;=15,ROUND(D26*(0.015+0.75*D7),2),"")</f>
        <v/>
      </c>
      <c r="E27" s="19">
        <f>IF(D6&gt;=15,E26+C27+D27,"")</f>
        <v/>
      </c>
      <c r="F27" s="19">
        <f>IF(D6&gt;=15,(E27-D9)*(1-D8/100),"")</f>
        <v/>
      </c>
    </row>
    <row r="28" ht="18" customHeight="1">
      <c r="B28" s="38">
        <f>IF(D6&gt;=16,2026+15,"")</f>
        <v/>
      </c>
      <c r="C28" s="21">
        <f>IF(D6&gt;=16,D5/13.5,"")</f>
        <v/>
      </c>
      <c r="D28" s="21">
        <f>IF(D6&gt;=16,ROUND(D27*(0.015+0.75*D7),2),"")</f>
        <v/>
      </c>
      <c r="E28" s="22">
        <f>IF(D6&gt;=16,E27+C28+D28,"")</f>
        <v/>
      </c>
      <c r="F28" s="22">
        <f>IF(D6&gt;=16,(E28-D9)*(1-D8/100),"")</f>
        <v/>
      </c>
    </row>
    <row r="29" ht="18" customHeight="1">
      <c r="B29" s="37">
        <f>IF(D6&gt;=17,2026+16,"")</f>
        <v/>
      </c>
      <c r="C29" s="18">
        <f>IF(D6&gt;=17,D5/13.5,"")</f>
        <v/>
      </c>
      <c r="D29" s="18">
        <f>IF(D6&gt;=17,ROUND(D28*(0.015+0.75*D7),2),"")</f>
        <v/>
      </c>
      <c r="E29" s="19">
        <f>IF(D6&gt;=17,E28+C29+D29,"")</f>
        <v/>
      </c>
      <c r="F29" s="19">
        <f>IF(D6&gt;=17,(E29-D9)*(1-D8/100),"")</f>
        <v/>
      </c>
    </row>
    <row r="30" ht="18" customHeight="1">
      <c r="B30" s="38">
        <f>IF(D6&gt;=18,2026+17,"")</f>
        <v/>
      </c>
      <c r="C30" s="21">
        <f>IF(D6&gt;=18,D5/13.5,"")</f>
        <v/>
      </c>
      <c r="D30" s="21">
        <f>IF(D6&gt;=18,ROUND(D29*(0.015+0.75*D7),2),"")</f>
        <v/>
      </c>
      <c r="E30" s="22">
        <f>IF(D6&gt;=18,E29+C30+D30,"")</f>
        <v/>
      </c>
      <c r="F30" s="22">
        <f>IF(D6&gt;=18,(E30-D9)*(1-D8/100),"")</f>
        <v/>
      </c>
    </row>
    <row r="31" ht="18" customHeight="1">
      <c r="B31" s="37">
        <f>IF(D6&gt;=19,2026+18,"")</f>
        <v/>
      </c>
      <c r="C31" s="18">
        <f>IF(D6&gt;=19,D5/13.5,"")</f>
        <v/>
      </c>
      <c r="D31" s="18">
        <f>IF(D6&gt;=19,ROUND(D30*(0.015+0.75*D7),2),"")</f>
        <v/>
      </c>
      <c r="E31" s="19">
        <f>IF(D6&gt;=19,E30+C31+D31,"")</f>
        <v/>
      </c>
      <c r="F31" s="19">
        <f>IF(D6&gt;=19,(E31-D9)*(1-D8/100),"")</f>
        <v/>
      </c>
    </row>
    <row r="32" ht="18" customHeight="1">
      <c r="B32" s="38">
        <f>IF(D6&gt;=20,2026+19,"")</f>
        <v/>
      </c>
      <c r="C32" s="21">
        <f>IF(D6&gt;=20,D5/13.5,"")</f>
        <v/>
      </c>
      <c r="D32" s="21">
        <f>IF(D6&gt;=20,ROUND(D31*(0.015+0.75*D7),2),"")</f>
        <v/>
      </c>
      <c r="E32" s="22">
        <f>IF(D6&gt;=20,E31+C32+D32,"")</f>
        <v/>
      </c>
      <c r="F32" s="22">
        <f>IF(D6&gt;=20,(E32-D9)*(1-D8/100),"")</f>
        <v/>
      </c>
    </row>
    <row r="33" ht="18" customHeight="1">
      <c r="B33" s="37">
        <f>IF(D6&gt;=21,2026+20,"")</f>
        <v/>
      </c>
      <c r="C33" s="18">
        <f>IF(D6&gt;=21,D5/13.5,"")</f>
        <v/>
      </c>
      <c r="D33" s="18">
        <f>IF(D6&gt;=21,ROUND(D32*(0.015+0.75*D7),2),"")</f>
        <v/>
      </c>
      <c r="E33" s="19">
        <f>IF(D6&gt;=21,E32+C33+D33,"")</f>
        <v/>
      </c>
      <c r="F33" s="19">
        <f>IF(D6&gt;=21,(E33-D9)*(1-D8/100),"")</f>
        <v/>
      </c>
    </row>
    <row r="34" ht="18" customHeight="1">
      <c r="B34" s="38">
        <f>IF(D6&gt;=22,2026+21,"")</f>
        <v/>
      </c>
      <c r="C34" s="21">
        <f>IF(D6&gt;=22,D5/13.5,"")</f>
        <v/>
      </c>
      <c r="D34" s="21">
        <f>IF(D6&gt;=22,ROUND(D33*(0.015+0.75*D7),2),"")</f>
        <v/>
      </c>
      <c r="E34" s="22">
        <f>IF(D6&gt;=22,E33+C34+D34,"")</f>
        <v/>
      </c>
      <c r="F34" s="22">
        <f>IF(D6&gt;=22,(E34-D9)*(1-D8/100),"")</f>
        <v/>
      </c>
    </row>
    <row r="35" ht="18" customHeight="1">
      <c r="B35" s="37">
        <f>IF(D6&gt;=23,2026+22,"")</f>
        <v/>
      </c>
      <c r="C35" s="18">
        <f>IF(D6&gt;=23,D5/13.5,"")</f>
        <v/>
      </c>
      <c r="D35" s="18">
        <f>IF(D6&gt;=23,ROUND(D34*(0.015+0.75*D7),2),"")</f>
        <v/>
      </c>
      <c r="E35" s="19">
        <f>IF(D6&gt;=23,E34+C35+D35,"")</f>
        <v/>
      </c>
      <c r="F35" s="19">
        <f>IF(D6&gt;=23,(E35-D9)*(1-D8/100),"")</f>
        <v/>
      </c>
    </row>
    <row r="36" ht="18" customHeight="1">
      <c r="B36" s="38">
        <f>IF(D6&gt;=24,2026+23,"")</f>
        <v/>
      </c>
      <c r="C36" s="21">
        <f>IF(D6&gt;=24,D5/13.5,"")</f>
        <v/>
      </c>
      <c r="D36" s="21">
        <f>IF(D6&gt;=24,ROUND(D35*(0.015+0.75*D7),2),"")</f>
        <v/>
      </c>
      <c r="E36" s="22">
        <f>IF(D6&gt;=24,E35+C36+D36,"")</f>
        <v/>
      </c>
      <c r="F36" s="22">
        <f>IF(D6&gt;=24,(E36-D9)*(1-D8/100),"")</f>
        <v/>
      </c>
    </row>
    <row r="37" ht="18" customHeight="1">
      <c r="B37" s="37">
        <f>IF(D6&gt;=25,2026+24,"")</f>
        <v/>
      </c>
      <c r="C37" s="18">
        <f>IF(D6&gt;=25,D5/13.5,"")</f>
        <v/>
      </c>
      <c r="D37" s="18">
        <f>IF(D6&gt;=25,ROUND(D36*(0.015+0.75*D7),2),"")</f>
        <v/>
      </c>
      <c r="E37" s="19">
        <f>IF(D6&gt;=25,E36+C37+D37,"")</f>
        <v/>
      </c>
      <c r="F37" s="19">
        <f>IF(D6&gt;=25,(E37-D9)*(1-D8/100),"")</f>
        <v/>
      </c>
    </row>
    <row r="38" ht="18" customHeight="1">
      <c r="B38" s="38">
        <f>IF(D6&gt;=26,2026+25,"")</f>
        <v/>
      </c>
      <c r="C38" s="21">
        <f>IF(D6&gt;=26,D5/13.5,"")</f>
        <v/>
      </c>
      <c r="D38" s="21">
        <f>IF(D6&gt;=26,ROUND(D37*(0.015+0.75*D7),2),"")</f>
        <v/>
      </c>
      <c r="E38" s="22">
        <f>IF(D6&gt;=26,E37+C38+D38,"")</f>
        <v/>
      </c>
      <c r="F38" s="22">
        <f>IF(D6&gt;=26,(E38-D9)*(1-D8/100),"")</f>
        <v/>
      </c>
    </row>
    <row r="39" ht="18" customHeight="1">
      <c r="B39" s="37">
        <f>IF(D6&gt;=27,2026+26,"")</f>
        <v/>
      </c>
      <c r="C39" s="18">
        <f>IF(D6&gt;=27,D5/13.5,"")</f>
        <v/>
      </c>
      <c r="D39" s="18">
        <f>IF(D6&gt;=27,ROUND(D38*(0.015+0.75*D7),2),"")</f>
        <v/>
      </c>
      <c r="E39" s="19">
        <f>IF(D6&gt;=27,E38+C39+D39,"")</f>
        <v/>
      </c>
      <c r="F39" s="19">
        <f>IF(D6&gt;=27,(E39-D9)*(1-D8/100),"")</f>
        <v/>
      </c>
    </row>
    <row r="40" ht="18" customHeight="1">
      <c r="B40" s="38">
        <f>IF(D6&gt;=28,2026+27,"")</f>
        <v/>
      </c>
      <c r="C40" s="21">
        <f>IF(D6&gt;=28,D5/13.5,"")</f>
        <v/>
      </c>
      <c r="D40" s="21">
        <f>IF(D6&gt;=28,ROUND(D39*(0.015+0.75*D7),2),"")</f>
        <v/>
      </c>
      <c r="E40" s="22">
        <f>IF(D6&gt;=28,E39+C40+D40,"")</f>
        <v/>
      </c>
      <c r="F40" s="22">
        <f>IF(D6&gt;=28,(E40-D9)*(1-D8/100),"")</f>
        <v/>
      </c>
    </row>
    <row r="41" ht="18" customHeight="1">
      <c r="B41" s="37">
        <f>IF(D6&gt;=29,2026+28,"")</f>
        <v/>
      </c>
      <c r="C41" s="18">
        <f>IF(D6&gt;=29,D5/13.5,"")</f>
        <v/>
      </c>
      <c r="D41" s="18">
        <f>IF(D6&gt;=29,ROUND(D40*(0.015+0.75*D7),2),"")</f>
        <v/>
      </c>
      <c r="E41" s="19">
        <f>IF(D6&gt;=29,E40+C41+D41,"")</f>
        <v/>
      </c>
      <c r="F41" s="19">
        <f>IF(D6&gt;=29,(E41-D9)*(1-D8/100),"")</f>
        <v/>
      </c>
    </row>
    <row r="42" ht="18" customHeight="1">
      <c r="B42" s="38">
        <f>IF(D6&gt;=30,2026+29,"")</f>
        <v/>
      </c>
      <c r="C42" s="21">
        <f>IF(D6&gt;=30,D5/13.5,"")</f>
        <v/>
      </c>
      <c r="D42" s="21">
        <f>IF(D6&gt;=30,ROUND(D41*(0.015+0.75*D7),2),"")</f>
        <v/>
      </c>
      <c r="E42" s="22">
        <f>IF(D6&gt;=30,E41+C42+D42,"")</f>
        <v/>
      </c>
      <c r="F42" s="22">
        <f>IF(D6&gt;=30,(E42-D9)*(1-D8/100),"")</f>
        <v/>
      </c>
    </row>
    <row r="44" ht="24" customHeight="1">
      <c r="B44" s="42" t="inlineStr">
        <is>
          <t>TFR LORDO TOTALE SIMULATO</t>
        </is>
      </c>
      <c r="C44" s="24" t="n"/>
      <c r="D44" s="24" t="n"/>
      <c r="E44" s="25">
        <f>IFERROR(E42,0)</f>
        <v/>
      </c>
      <c r="F44" s="24" t="n"/>
    </row>
    <row r="45" ht="24" customHeight="1">
      <c r="B45" s="43" t="inlineStr">
        <is>
          <t>Anticipo Previsto</t>
        </is>
      </c>
      <c r="C45" s="44" t="n"/>
      <c r="D45" s="44" t="n"/>
      <c r="E45" s="45">
        <f>D9</f>
        <v/>
      </c>
      <c r="F45" s="44" t="n"/>
    </row>
    <row r="46" ht="24" customHeight="1">
      <c r="B46" s="42" t="inlineStr">
        <is>
          <t>TFR NETTO TOTALE STIMATO</t>
        </is>
      </c>
      <c r="C46" s="24" t="n"/>
      <c r="D46" s="24" t="n"/>
      <c r="E46" s="25">
        <f>IFERROR(F42,0)</f>
        <v/>
      </c>
      <c r="F46" s="24" t="n"/>
    </row>
  </sheetData>
  <mergeCells count="19">
    <mergeCell ref="B2:F2"/>
    <mergeCell ref="B4:F4"/>
    <mergeCell ref="B5:C5"/>
    <mergeCell ref="D5:F5"/>
    <mergeCell ref="B6:C6"/>
    <mergeCell ref="D6:F6"/>
    <mergeCell ref="B7:C7"/>
    <mergeCell ref="D7:F7"/>
    <mergeCell ref="B8:C8"/>
    <mergeCell ref="D8:F8"/>
    <mergeCell ref="B9:C9"/>
    <mergeCell ref="D9:F9"/>
    <mergeCell ref="B11:F11"/>
    <mergeCell ref="B44:D44"/>
    <mergeCell ref="E44:F44"/>
    <mergeCell ref="B45:D45"/>
    <mergeCell ref="E45:F45"/>
    <mergeCell ref="B46:D46"/>
    <mergeCell ref="E46:F4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64748B"/>
    <outlinePr summaryBelow="1" summaryRight="1"/>
    <pageSetUpPr/>
  </sheetPr>
  <dimension ref="B2:C2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60" customWidth="1" min="3" max="3"/>
    <col width="2" customWidth="1" min="4" max="4"/>
  </cols>
  <sheetData>
    <row r="1" ht="8" customHeight="1"/>
    <row r="2" ht="50" customHeight="1">
      <c r="B2" s="35" t="inlineStr">
        <is>
          <t>ISTRUZIONI PER L'USO — CALCOLO TFR</t>
        </is>
      </c>
      <c r="C2" s="36" t="n"/>
    </row>
    <row r="3" ht="8" customHeight="1"/>
    <row r="4" ht="24" customHeight="1">
      <c r="B4" s="46" t="inlineStr">
        <is>
          <t>FOGLI DISPONIBILI</t>
        </is>
      </c>
      <c r="C4" s="47" t="n"/>
    </row>
    <row r="5" ht="32" customHeight="1">
      <c r="B5" s="7" t="inlineStr">
        <is>
          <t>1. Calcolo TFR</t>
        </is>
      </c>
      <c r="C5" s="11" t="inlineStr">
        <is>
          <t>Foglio principale per il calcolo del TFR maturato. Inserire i dati anagrafici, la retribuzione annua e gli eventuali anticipi già erogati. Le formule calcolano automaticamente accantonamento, rivalutazione e TFR netto.</t>
        </is>
      </c>
    </row>
    <row r="6" ht="32" customHeight="1">
      <c r="B6" s="7" t="inlineStr">
        <is>
          <t>2. Storico Mensile</t>
        </is>
      </c>
      <c r="C6" s="11" t="inlineStr">
        <is>
          <t>Permette di tracciare il TFR mese per mese. Inserire la retribuzione mensile e gli eventuali anticipi. La rivalutazione mensile è calcolata automaticamente sulla base del 2,25% annuo.</t>
        </is>
      </c>
    </row>
    <row r="7" ht="32" customHeight="1">
      <c r="B7" s="7" t="inlineStr">
        <is>
          <t>3. Simulatore</t>
        </is>
      </c>
      <c r="C7" s="11" t="inlineStr">
        <is>
          <t>Proietta il TFR futuro su un orizzonte di massimo 30 anni. Impostare RAL, anni di servizio, inflazione stimata e aliquota IRPEF per ottenere stime di TFR lordo e netto.</t>
        </is>
      </c>
    </row>
    <row r="8" ht="24" customHeight="1">
      <c r="B8" s="46" t="inlineStr">
        <is>
          <t>COME INSERIRE I DATI</t>
        </is>
      </c>
      <c r="C8" s="47" t="n"/>
    </row>
    <row r="9" ht="32" customHeight="1">
      <c r="B9" s="7" t="inlineStr">
        <is>
          <t>Celle gialle</t>
        </is>
      </c>
      <c r="C9" s="11" t="inlineStr">
        <is>
          <t>Le celle con sfondo giallo (FFFBEB) sono CELLE DI INPUT: inserire i valori richiesti. Non modificare le celle con sfondo bianco o verde che contengono formule.</t>
        </is>
      </c>
    </row>
    <row r="10" ht="32" customHeight="1">
      <c r="B10" s="7" t="inlineStr">
        <is>
          <t>Date</t>
        </is>
      </c>
      <c r="C10" s="11" t="inlineStr">
        <is>
          <t>Inserire le date nel formato gg/mm/aaaa (es. 01/03/2015). La durata del rapporto è calcolata automaticamente.</t>
        </is>
      </c>
    </row>
    <row r="11" ht="32" customHeight="1">
      <c r="B11" s="7" t="inlineStr">
        <is>
          <t>Anticipi</t>
        </is>
      </c>
      <c r="C11" s="11" t="inlineStr">
        <is>
          <t>Inserire in colonna F (Anticipi Erogati) solo gli importi già effettivamente erogati al dipendente. Il totale viene sottratto dal TFR lordo.</t>
        </is>
      </c>
    </row>
    <row r="12" ht="24" customHeight="1">
      <c r="B12" s="46" t="inlineStr">
        <is>
          <t>FORMULA LEGALE TFR</t>
        </is>
      </c>
      <c r="C12" s="47" t="n"/>
    </row>
    <row r="13" ht="32" customHeight="1">
      <c r="B13" s="7" t="inlineStr">
        <is>
          <t>Accantonamento annuo</t>
        </is>
      </c>
      <c r="C13" s="11" t="inlineStr">
        <is>
          <t>RETRIBUZIONE ANNUA LORDA ÷ 13,5 — Coefficiente fissato dall'art. 2120 del Codice Civile.</t>
        </is>
      </c>
    </row>
    <row r="14" ht="32" customHeight="1">
      <c r="B14" s="7" t="inlineStr">
        <is>
          <t>Rivalutazione annua</t>
        </is>
      </c>
      <c r="C14" s="11" t="inlineStr">
        <is>
          <t>TFR al 31/12 × (1,5% fisso + 75% variazione ISTAT indice FOI). Si applica dal secondo anno.</t>
        </is>
      </c>
    </row>
    <row r="15" ht="32" customHeight="1">
      <c r="B15" s="7" t="inlineStr">
        <is>
          <t>Tassazione</t>
        </is>
      </c>
      <c r="C15" s="11" t="inlineStr">
        <is>
          <t>Il TFR è soggetto a tassazione separata. L'aliquota è quella media IRPEF del quinquennio precedente, minimo 23%. Il calcolo è orientativo.</t>
        </is>
      </c>
    </row>
    <row r="16" ht="32" customHeight="1">
      <c r="B16" s="7" t="inlineStr">
        <is>
          <t>Fondo Pensione</t>
        </is>
      </c>
      <c r="C16" s="11" t="inlineStr">
        <is>
          <t>Per i dipendenti assunti dopo il 28/4/1993 in aziende con oltre 50 dipendenti, il TFR può essere conferito a un Fondo Pensione complementare.</t>
        </is>
      </c>
    </row>
    <row r="17" ht="24" customHeight="1">
      <c r="B17" s="46" t="inlineStr">
        <is>
          <t>AVVERTENZE LEGALI</t>
        </is>
      </c>
      <c r="C17" s="47" t="n"/>
    </row>
    <row r="18" ht="32" customHeight="1">
      <c r="B18" s="7" t="inlineStr">
        <is>
          <t>Disclaimer</t>
        </is>
      </c>
      <c r="C18" s="11" t="inlineStr">
        <is>
          <t>Questo strumento fornisce STIME ORIENTATIVE a scopo informativo. I valori effettivi dipendono da elementi contrattuali specifici, rivalutazioni ISTAT reali e normativa fiscale aggiornata. Per il calcolo definitivo rivolgersi al proprio consulente del lavoro o all'ufficio paghe.</t>
        </is>
      </c>
    </row>
    <row r="19" ht="32" customHeight="1">
      <c r="B19" s="7" t="inlineStr">
        <is>
          <t>Riferimento normativo</t>
        </is>
      </c>
      <c r="C19" s="11" t="inlineStr">
        <is>
          <t>Art. 2120 Codice Civile — Legge 29 maggio 1982 n. 297 — D.Lgs. 252/2005 (Fondi Pensione).</t>
        </is>
      </c>
    </row>
    <row r="20" ht="32" customHeight="1">
      <c r="B20" s="7" t="inlineStr">
        <is>
          <t>Aggiornamento</t>
        </is>
      </c>
      <c r="C20" s="11" t="inlineStr">
        <is>
          <t>Cartella di lavoro generata il 09/03/2026. Verificare la normativa ISTAT vigente prima dell'utilizzo.</t>
        </is>
      </c>
    </row>
  </sheetData>
  <mergeCells count="5">
    <mergeCell ref="B2:C2"/>
    <mergeCell ref="B4:C4"/>
    <mergeCell ref="B8:C8"/>
    <mergeCell ref="B12:C12"/>
    <mergeCell ref="B17:C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2026-03-09T12:04:01Z</dcterms:created>
  <dcterms:modified xmlns:dcterms="http://purl.org/dc/terms/" xmlns:xsi="http://www.w3.org/2001/XMLSchema-instance" xsi:type="dcterms:W3CDTF">2026-03-09T12:04:01Z</dcterms:modified>
</cp:coreProperties>
</file>