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olo Rendimento" sheetId="1" state="visible" r:id="rId1"/>
    <sheet xmlns:r="http://schemas.openxmlformats.org/officeDocument/2006/relationships" name="Grafici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'Calcolo Rendimento'!1:3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0 &quot;€&quot;"/>
    <numFmt numFmtId="165" formatCode="0.00&quot;%&quot;"/>
    <numFmt numFmtId="166" formatCode="0 &quot;anni&quot;"/>
    <numFmt numFmtId="167" formatCode="0 &quot;mesi&quot;"/>
    <numFmt numFmtId="168" formatCode="0.0 &quot;anni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  <font>
      <name val="Calibri"/>
      <b val="1"/>
      <color rgb="000F766E"/>
      <sz val="11"/>
    </font>
    <font>
      <name val="Calibri"/>
      <b val="1"/>
      <color rgb="000F766E"/>
      <sz val="12"/>
    </font>
    <font>
      <name val="Calibri"/>
      <b val="1"/>
      <color rgb="00FFFFFF"/>
      <sz val="14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0F2F1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49" fontId="5" fillId="5" borderId="1" applyAlignment="1" pivotButton="0" quotePrefix="0" xfId="0">
      <alignment horizontal="right" vertical="center"/>
    </xf>
    <xf numFmtId="164" fontId="5" fillId="6" borderId="1" applyAlignment="1" pivotButton="0" quotePrefix="0" xfId="0">
      <alignment horizontal="right" vertical="center"/>
    </xf>
    <xf numFmtId="165" fontId="5" fillId="6" borderId="1" applyAlignment="1" pivotButton="0" quotePrefix="0" xfId="0">
      <alignment horizontal="right" vertical="center"/>
    </xf>
    <xf numFmtId="166" fontId="5" fillId="6" borderId="1" applyAlignment="1" pivotButton="0" quotePrefix="0" xfId="0">
      <alignment horizontal="right" vertical="center"/>
    </xf>
    <xf numFmtId="164" fontId="6" fillId="7" borderId="1" applyAlignment="1" pivotButton="0" quotePrefix="0" xfId="0">
      <alignment horizontal="right" vertical="center"/>
    </xf>
    <xf numFmtId="164" fontId="3" fillId="2" borderId="1" applyAlignment="1" pivotButton="0" quotePrefix="0" xfId="0">
      <alignment horizontal="right" vertical="center"/>
    </xf>
    <xf numFmtId="167" fontId="5" fillId="6" borderId="1" applyAlignment="1" pivotButton="0" quotePrefix="0" xfId="0">
      <alignment horizontal="right" vertical="center"/>
    </xf>
    <xf numFmtId="49" fontId="5" fillId="6" borderId="1" applyAlignment="1" pivotButton="0" quotePrefix="0" xfId="0">
      <alignment horizontal="right" vertical="center"/>
    </xf>
    <xf numFmtId="49" fontId="4" fillId="8" borderId="1" applyAlignment="1" pivotButton="0" quotePrefix="0" xfId="0">
      <alignment horizontal="center" vertical="center" wrapText="1"/>
    </xf>
    <xf numFmtId="165" fontId="7" fillId="7" borderId="2" applyAlignment="1" pivotButton="0" quotePrefix="0" xfId="0">
      <alignment horizontal="right" vertical="center"/>
    </xf>
    <xf numFmtId="168" fontId="7" fillId="7" borderId="2" applyAlignment="1" pivotButton="0" quotePrefix="0" xfId="0">
      <alignment horizontal="right" vertical="center"/>
    </xf>
    <xf numFmtId="165" fontId="6" fillId="7" borderId="1" applyAlignment="1" pivotButton="0" quotePrefix="0" xfId="0">
      <alignment horizontal="right" vertical="center"/>
    </xf>
    <xf numFmtId="167" fontId="6" fillId="7" borderId="1" applyAlignment="1" pivotButton="0" quotePrefix="0" xfId="0">
      <alignment horizontal="right" vertical="center"/>
    </xf>
    <xf numFmtId="0" fontId="2" fillId="8" borderId="1" applyAlignment="1" pivotButton="0" quotePrefix="0" xfId="0">
      <alignment horizontal="center" vertical="center" wrapText="1"/>
    </xf>
    <xf numFmtId="49" fontId="5" fillId="7" borderId="1" applyAlignment="1" pivotButton="0" quotePrefix="0" xfId="0">
      <alignment horizontal="left" vertical="center" wrapText="1"/>
    </xf>
    <xf numFmtId="164" fontId="5" fillId="7" borderId="1" applyAlignment="1" pivotButton="0" quotePrefix="0" xfId="0">
      <alignment horizontal="right" vertical="center"/>
    </xf>
    <xf numFmtId="165" fontId="5" fillId="7" borderId="1" applyAlignment="1" pivotButton="0" quotePrefix="0" xfId="0">
      <alignment horizontal="right" vertical="center"/>
    </xf>
    <xf numFmtId="49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49" fontId="5" fillId="5" borderId="1" applyAlignment="1" pivotButton="0" quotePrefix="0" xfId="0">
      <alignment horizontal="center" vertical="center" wrapText="1"/>
    </xf>
    <xf numFmtId="49" fontId="5" fillId="7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66534"/>
        <sz val="11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1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Indicatori di Rendimento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'Grafici'!B2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'Grafici'!$A$3:$A$7</f>
            </numRef>
          </cat>
          <val>
            <numRef>
              <f>'Grafici'!$B$3:$B$7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Indicatore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Percentuale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Proiezione Patrimoniale 10 Anni</a:t>
            </a:r>
          </a:p>
        </rich>
      </tx>
    </title>
    <plotArea>
      <lineChart>
        <grouping val="standard"/>
        <ser>
          <idx val="0"/>
          <order val="0"/>
          <tx>
            <strRef>
              <f>'Grafici'!E3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'Grafici'!$D$4:$D$13</f>
            </numRef>
          </cat>
          <val>
            <numRef>
              <f>'Grafici'!$E$4:$E$13</f>
            </numRef>
          </val>
        </ser>
        <ser>
          <idx val="1"/>
          <order val="1"/>
          <tx>
            <strRef>
              <f>'Grafici'!F3</f>
            </strRef>
          </tx>
          <spPr>
            <a:ln xmlns:a="http://schemas.openxmlformats.org/drawingml/2006/main" w="25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'Grafici'!$D$4:$D$13</f>
            </numRef>
          </cat>
          <val>
            <numRef>
              <f>'Grafici'!$F$4:$F$13</f>
            </numRef>
          </val>
        </ser>
        <ser>
          <idx val="2"/>
          <order val="2"/>
          <tx>
            <strRef>
              <f>'Grafici'!G3</f>
            </strRef>
          </tx>
          <spPr>
            <a:ln xmlns:a="http://schemas.openxmlformats.org/drawingml/2006/main" w="25000">
              <a:solidFill>
                <a:srgbClr val="22C55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'Grafici'!$D$4:$D$13</f>
            </numRef>
          </cat>
          <val>
            <numRef>
              <f>'Grafici'!$G$4:$G$13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8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G6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28" customWidth="1" min="4" max="4"/>
    <col width="18" customWidth="1" min="5" max="5"/>
    <col width="2" customWidth="1" min="6" max="6"/>
  </cols>
  <sheetData>
    <row r="1" ht="10" customHeight="1"/>
    <row r="2" ht="36" customHeight="1">
      <c r="B2" s="1" t="inlineStr">
        <is>
          <t>CALCOLATORE RENDIMENTO AFFITTO</t>
        </is>
      </c>
    </row>
    <row r="3" ht="16" customHeight="1">
      <c r="B3" s="2" t="inlineStr">
        <is>
          <t>Aggiornato al: 16/03/2026</t>
        </is>
      </c>
    </row>
    <row r="4" ht="20" customHeight="1"/>
    <row r="5" ht="20" customHeight="1">
      <c r="B5" s="3" t="inlineStr">
        <is>
          <t>DATI IMMOBILE</t>
        </is>
      </c>
      <c r="D5" s="4" t="inlineStr">
        <is>
          <t>FINANZIAMENTO (opzionale)</t>
        </is>
      </c>
    </row>
    <row r="6" ht="20" customHeight="1">
      <c r="B6" s="5" t="inlineStr">
        <is>
          <t>Descrizione immobile</t>
        </is>
      </c>
      <c r="C6" s="6" t="n"/>
      <c r="D6" s="5" t="inlineStr">
        <is>
          <t>Importo mutuo (€)</t>
        </is>
      </c>
      <c r="E6" s="7" t="n">
        <v>120000</v>
      </c>
    </row>
    <row r="7" ht="20" customHeight="1">
      <c r="B7" s="5" t="inlineStr">
        <is>
          <t>Prezzo di acquisto (€)</t>
        </is>
      </c>
      <c r="C7" s="7" t="n">
        <v>180000</v>
      </c>
      <c r="D7" s="5" t="inlineStr">
        <is>
          <t>Tasso interesse annuo (%)</t>
        </is>
      </c>
      <c r="E7" s="8" t="n">
        <v>3.5</v>
      </c>
    </row>
    <row r="8" ht="20" customHeight="1">
      <c r="B8" s="5" t="inlineStr">
        <is>
          <t>Spese notarili e imposte (€)</t>
        </is>
      </c>
      <c r="C8" s="7" t="n">
        <v>5000</v>
      </c>
      <c r="D8" s="5" t="inlineStr">
        <is>
          <t>Durata mutuo (anni)</t>
        </is>
      </c>
      <c r="E8" s="9" t="n">
        <v>20</v>
      </c>
    </row>
    <row r="9" ht="20" customHeight="1">
      <c r="B9" s="5" t="inlineStr">
        <is>
          <t>Spese di ristrutturazione (€)</t>
        </is>
      </c>
      <c r="C9" s="7" t="n">
        <v>8000</v>
      </c>
      <c r="D9" s="5" t="inlineStr">
        <is>
          <t>Rata mensile mutuo (€)</t>
        </is>
      </c>
      <c r="E9" s="10">
        <f>IFERROR(IF(E6=0,0,PMT(E7/12,E8*12,-E6)),0)</f>
        <v/>
      </c>
    </row>
    <row r="10" ht="20" customHeight="1">
      <c r="B10" s="5" t="inlineStr">
        <is>
          <t>Arredamento/allestimento (€)</t>
        </is>
      </c>
      <c r="C10" s="7" t="n">
        <v>3000</v>
      </c>
      <c r="D10" s="5" t="inlineStr">
        <is>
          <t>Totale interessi pagati (€)</t>
        </is>
      </c>
      <c r="E10" s="10">
        <f>IFERROR(IF(E6=0,0,(E9*E8*12)-E6),0)</f>
        <v/>
      </c>
    </row>
    <row r="11" ht="20" customHeight="1">
      <c r="B11" s="5" t="inlineStr">
        <is>
          <t>Valore di mercato attuale (€)</t>
        </is>
      </c>
      <c r="C11" s="7" t="n">
        <v>195000</v>
      </c>
      <c r="D11" s="5" t="inlineStr">
        <is>
          <t>Quota capitale mensile (€)</t>
        </is>
      </c>
      <c r="E11" s="10">
        <f>IFERROR(IF(E6=0,0,E6/(E8*12)),0)</f>
        <v/>
      </c>
    </row>
    <row r="12" ht="20" customHeight="1">
      <c r="B12" s="5" t="inlineStr">
        <is>
          <t>Investimento totale (€)</t>
        </is>
      </c>
      <c r="C12" s="11">
        <f>SUM(C7:C10)</f>
        <v/>
      </c>
      <c r="D12" s="5" t="inlineStr">
        <is>
          <t>Equity attuale (€)</t>
        </is>
      </c>
    </row>
    <row r="13" ht="20" customHeight="1"/>
    <row r="14" ht="20" customHeight="1">
      <c r="B14" s="3" t="inlineStr">
        <is>
          <t>ENTRATE DA LOCAZIONE</t>
        </is>
      </c>
      <c r="D14" s="4" t="inlineStr">
        <is>
          <t>SPESE ANNUALI</t>
        </is>
      </c>
    </row>
    <row r="15" ht="20" customHeight="1">
      <c r="B15" s="5" t="inlineStr">
        <is>
          <t>Canone mensile lordo (€)</t>
        </is>
      </c>
      <c r="C15" s="7" t="n">
        <v>1000</v>
      </c>
      <c r="D15" s="5" t="inlineStr">
        <is>
          <t>IMU/TASI annuale (€)</t>
        </is>
      </c>
      <c r="E15" s="7" t="n">
        <v>800</v>
      </c>
    </row>
    <row r="16" ht="20" customHeight="1">
      <c r="B16" s="5" t="inlineStr">
        <is>
          <t>Mesi occupati per anno</t>
        </is>
      </c>
      <c r="C16" s="12" t="n">
        <v>11</v>
      </c>
      <c r="D16" s="5" t="inlineStr">
        <is>
          <t>Assicurazione annuale (€)</t>
        </is>
      </c>
      <c r="E16" s="7" t="n">
        <v>350</v>
      </c>
    </row>
    <row r="17" ht="20" customHeight="1">
      <c r="B17" s="5" t="inlineStr">
        <is>
          <t>Deposito cauzionale (€)</t>
        </is>
      </c>
      <c r="C17" s="7" t="n">
        <v>2000</v>
      </c>
      <c r="D17" s="5" t="inlineStr">
        <is>
          <t>Spese condominiali (€)</t>
        </is>
      </c>
      <c r="E17" s="7" t="n">
        <v>600</v>
      </c>
    </row>
    <row r="18" ht="20" customHeight="1">
      <c r="B18" s="5" t="inlineStr">
        <is>
          <t>Altri proventi annui (€)</t>
        </is>
      </c>
      <c r="C18" s="7" t="n">
        <v>0</v>
      </c>
      <c r="D18" s="5" t="inlineStr">
        <is>
          <t>Manutenzione ordinaria (€)</t>
        </is>
      </c>
      <c r="E18" s="7" t="n">
        <v>500</v>
      </c>
    </row>
    <row r="19" ht="20" customHeight="1">
      <c r="B19" s="5" t="inlineStr">
        <is>
          <t>Reddito lordo annuo (€)</t>
        </is>
      </c>
      <c r="C19" s="10">
        <f>C15*C16+C18</f>
        <v/>
      </c>
      <c r="D19" s="5" t="inlineStr">
        <is>
          <t>Commissioni agenzia (€)</t>
        </is>
      </c>
      <c r="E19" s="7" t="n">
        <v>0</v>
      </c>
    </row>
    <row r="20" ht="20" customHeight="1">
      <c r="B20" s="5" t="inlineStr">
        <is>
          <t>Tasso vacancy (%)</t>
        </is>
      </c>
      <c r="C20" s="8" t="n">
        <v>5</v>
      </c>
      <c r="D20" s="5" t="inlineStr">
        <is>
          <t>Altre spese annue (€)</t>
        </is>
      </c>
      <c r="E20" s="7" t="n">
        <v>150</v>
      </c>
    </row>
    <row r="21" ht="20" customHeight="1">
      <c r="B21" s="5" t="inlineStr">
        <is>
          <t>Reddito lordo rettificato (€)</t>
        </is>
      </c>
      <c r="C21" s="10">
        <f>C19*(1-C20/100)</f>
        <v/>
      </c>
      <c r="D21" s="5" t="inlineStr">
        <is>
          <t>Totale spese annue (€)</t>
        </is>
      </c>
      <c r="E21" s="11">
        <f>SUM(E15:E20)</f>
        <v/>
      </c>
    </row>
    <row r="22" ht="20" customHeight="1"/>
    <row r="23" ht="20" customHeight="1">
      <c r="B23" s="4" t="inlineStr">
        <is>
          <t>ANALISI FISCALE</t>
        </is>
      </c>
    </row>
    <row r="24" ht="20" customHeight="1">
      <c r="B24" s="5" t="inlineStr">
        <is>
          <t>Regime fiscale</t>
        </is>
      </c>
      <c r="C24" s="13" t="inlineStr">
        <is>
          <t>IRPEF ordinario</t>
        </is>
      </c>
      <c r="D24" s="5" t="inlineStr">
        <is>
          <t>Imposta cedolare secca (€)</t>
        </is>
      </c>
      <c r="E24" s="10">
        <f>C21*C26/100</f>
        <v/>
      </c>
    </row>
    <row r="25" ht="20" customHeight="1">
      <c r="B25" s="5" t="inlineStr">
        <is>
          <t>Aliquota IRPEF applicabile (%)</t>
        </is>
      </c>
      <c r="C25" s="8" t="n">
        <v>23</v>
      </c>
      <c r="D25" s="5" t="inlineStr">
        <is>
          <t>Risparmio cedolare vs IRPEF (€)</t>
        </is>
      </c>
      <c r="E25" s="10">
        <f>C28-E24</f>
        <v/>
      </c>
    </row>
    <row r="26" ht="20" customHeight="1">
      <c r="B26" s="5" t="inlineStr">
        <is>
          <t>Aliquota cedolare secca (%)</t>
        </is>
      </c>
      <c r="C26" s="8" t="n">
        <v>21</v>
      </c>
      <c r="D26" s="5" t="inlineStr">
        <is>
          <t>Regime più conveniente</t>
        </is>
      </c>
      <c r="E26" s="14">
        <f>IF(E24&lt;C28,"Cedolare Secca","IRPEF Ordinario")</f>
        <v/>
      </c>
    </row>
    <row r="27" ht="20" customHeight="1">
      <c r="B27" s="5" t="inlineStr">
        <is>
          <t>Imponibile IRPEF (€) — 95% canone</t>
        </is>
      </c>
      <c r="C27" s="10">
        <f>C21*0.95</f>
        <v/>
      </c>
    </row>
    <row r="28" ht="20" customHeight="1">
      <c r="B28" s="5" t="inlineStr">
        <is>
          <t>Imposta IRPEF stimata (€)</t>
        </is>
      </c>
      <c r="C28" s="10">
        <f>C27*C25/100</f>
        <v/>
      </c>
    </row>
    <row r="29" ht="20" customHeight="1">
      <c r="B29" s="5" t="inlineStr">
        <is>
          <t>Reddito netto post-imposte (IRPEF) (€)</t>
        </is>
      </c>
      <c r="C29" s="11">
        <f>C21-E21-C28</f>
        <v/>
      </c>
      <c r="D29" s="5" t="inlineStr">
        <is>
          <t>Reddito netto post-imposte (Ced.) (€)</t>
        </is>
      </c>
      <c r="E29" s="11">
        <f>C21-E21-E24</f>
        <v/>
      </c>
    </row>
    <row r="30" ht="20" customHeight="1"/>
    <row r="31" ht="20" customHeight="1">
      <c r="B31" s="3" t="inlineStr">
        <is>
          <t>INDICATORI DI RENDIMENTO</t>
        </is>
      </c>
    </row>
    <row r="32" ht="20" customHeight="1">
      <c r="B32" s="5" t="inlineStr">
        <is>
          <t>Rendimento Lordo (Gross Yield) %</t>
        </is>
      </c>
      <c r="C32" s="15">
        <f>IFERROR(C19/C12*100,0)</f>
        <v/>
      </c>
      <c r="D32" s="5" t="inlineStr">
        <is>
          <t>Cash-on-Cash Return %</t>
        </is>
      </c>
      <c r="E32" s="15">
        <f>IFERROR((C29-E9*12)/C12*100,0)</f>
        <v/>
      </c>
    </row>
    <row r="33" ht="20" customHeight="1">
      <c r="B33" s="5" t="inlineStr">
        <is>
          <t>Rendimento Netto (Net Yield) %</t>
        </is>
      </c>
      <c r="C33" s="15">
        <f>IFERROR((C21-E21)/C12*100,0)</f>
        <v/>
      </c>
      <c r="D33" s="5" t="inlineStr">
        <is>
          <t>Cap Rate %</t>
        </is>
      </c>
      <c r="E33" s="15">
        <f>IFERROR((C21-E21)/C7*100,0)</f>
        <v/>
      </c>
    </row>
    <row r="34" ht="20" customHeight="1">
      <c r="B34" s="5" t="inlineStr">
        <is>
          <t>Rendimento Netto Fiscale IRPEF %</t>
        </is>
      </c>
      <c r="C34" s="15">
        <f>IFERROR(C29/C12*100,0)</f>
        <v/>
      </c>
      <c r="D34" s="5" t="inlineStr">
        <is>
          <t>ROI complessivo %</t>
        </is>
      </c>
      <c r="E34" s="15">
        <f>IFERROR((C29+(C11-C7))/C12*100,0)</f>
        <v/>
      </c>
    </row>
    <row r="35" ht="20" customHeight="1">
      <c r="B35" s="5" t="inlineStr">
        <is>
          <t>Rendimento Netto Fiscale Ced. %</t>
        </is>
      </c>
      <c r="C35" s="15">
        <f>IFERROR(E29/C12*100,0)</f>
        <v/>
      </c>
      <c r="D35" s="5" t="inlineStr">
        <is>
          <t>Payback period (anni)</t>
        </is>
      </c>
      <c r="E35" s="16">
        <f>IFERROR(C12/C29,0)</f>
        <v/>
      </c>
    </row>
    <row r="36" ht="20" customHeight="1"/>
    <row r="37" ht="20" customHeight="1">
      <c r="B37" s="4" t="inlineStr">
        <is>
          <t>ANALISI FLUSSO DI CASSA MENSILE</t>
        </is>
      </c>
    </row>
    <row r="38" ht="20" customHeight="1">
      <c r="B38" s="5" t="inlineStr">
        <is>
          <t>(+) Canone mensile</t>
        </is>
      </c>
      <c r="C38" s="10">
        <f>C15</f>
        <v/>
      </c>
      <c r="D38" s="5" t="inlineStr">
        <is>
          <t>(=) Flusso di cassa netto annuo (€)</t>
        </is>
      </c>
      <c r="E38" s="10">
        <f>C42*12</f>
        <v/>
      </c>
    </row>
    <row r="39" ht="20" customHeight="1">
      <c r="B39" s="5" t="inlineStr">
        <is>
          <t>(-) Rata mutuo mensile</t>
        </is>
      </c>
      <c r="C39" s="10">
        <f>-E9</f>
        <v/>
      </c>
      <c r="D39" s="5" t="inlineStr">
        <is>
          <t>Flusso cassa su investimento %</t>
        </is>
      </c>
      <c r="E39" s="17">
        <f>IFERROR(E38/C12*100,0)</f>
        <v/>
      </c>
    </row>
    <row r="40" ht="20" customHeight="1">
      <c r="B40" s="5" t="inlineStr">
        <is>
          <t>(-) Spese mensili medie</t>
        </is>
      </c>
      <c r="C40" s="10">
        <f>-E21/12</f>
        <v/>
      </c>
      <c r="D40" s="5" t="inlineStr">
        <is>
          <t>Mesi a pareggio (Break-even)</t>
        </is>
      </c>
      <c r="E40" s="18">
        <f>IFERROR(C12/C42,0)</f>
        <v/>
      </c>
    </row>
    <row r="41" ht="20" customHeight="1">
      <c r="B41" s="5" t="inlineStr">
        <is>
          <t>(-) Imposte mensili (cedolare)</t>
        </is>
      </c>
      <c r="C41" s="10">
        <f>-E24/12</f>
        <v/>
      </c>
      <c r="D41" s="5" t="inlineStr">
        <is>
          <t>Break-even canone min. (€)</t>
        </is>
      </c>
      <c r="E41" s="10">
        <f>IFERROR(E21/12+E9+E24/12,0)</f>
        <v/>
      </c>
    </row>
    <row r="42" ht="20" customHeight="1">
      <c r="B42" s="5" t="inlineStr">
        <is>
          <t>(=) Flusso di cassa netto mensile (€)</t>
        </is>
      </c>
      <c r="C42" s="11">
        <f>C38+C39+C40+C41</f>
        <v/>
      </c>
      <c r="D42" s="19" t="inlineStr">
        <is>
          <t>Flusso positivo = immobile si auto-finanzia</t>
        </is>
      </c>
    </row>
    <row r="43" ht="20" customHeight="1"/>
    <row r="44" ht="20" customHeight="1">
      <c r="B44" s="3" t="inlineStr">
        <is>
          <t>CONFRONTO SCENARI CANONE</t>
        </is>
      </c>
    </row>
    <row r="45" ht="20" customHeight="1">
      <c r="A45" s="3" t="n"/>
      <c r="B45" s="3" t="inlineStr">
        <is>
          <t>Canone Mensile (€)</t>
        </is>
      </c>
      <c r="C45" s="3" t="inlineStr">
        <is>
          <t>Reddito Lordo Annuo (€)</t>
        </is>
      </c>
      <c r="D45" s="3" t="inlineStr">
        <is>
          <t>Reddito Netto (€)</t>
        </is>
      </c>
      <c r="E45" s="3" t="inlineStr">
        <is>
          <t>Gross Yield %</t>
        </is>
      </c>
    </row>
    <row r="46" ht="20" customHeight="1">
      <c r="B46" s="20" t="inlineStr">
        <is>
          <t>Scenario Pessimistico</t>
        </is>
      </c>
      <c r="C46" s="21" t="n">
        <v>800</v>
      </c>
      <c r="D46" s="21">
        <f>C46*C16+C18</f>
        <v/>
      </c>
      <c r="E46" s="21">
        <f>(D46-E21-E24)</f>
        <v/>
      </c>
      <c r="F46" s="22">
        <f>IFERROR(D46/C12*100,0)</f>
        <v/>
      </c>
    </row>
    <row r="47" ht="20" customHeight="1">
      <c r="B47" s="23" t="inlineStr">
        <is>
          <t>Scenario Base</t>
        </is>
      </c>
      <c r="C47" s="24" t="n">
        <v>1000</v>
      </c>
      <c r="D47" s="24">
        <f>C47*C16+C18</f>
        <v/>
      </c>
      <c r="E47" s="24">
        <f>(D47-E21-E24)</f>
        <v/>
      </c>
      <c r="F47" s="25">
        <f>IFERROR(D47/C12*100,0)</f>
        <v/>
      </c>
    </row>
    <row r="48" ht="20" customHeight="1">
      <c r="B48" s="20" t="inlineStr">
        <is>
          <t>Scenario Medio</t>
        </is>
      </c>
      <c r="C48" s="21" t="n">
        <v>1200</v>
      </c>
      <c r="D48" s="21">
        <f>C48*C16+C18</f>
        <v/>
      </c>
      <c r="E48" s="21">
        <f>(D48-E21-E24)</f>
        <v/>
      </c>
      <c r="F48" s="22">
        <f>IFERROR(D48/C12*100,0)</f>
        <v/>
      </c>
    </row>
    <row r="49" ht="20" customHeight="1">
      <c r="B49" s="23" t="inlineStr">
        <is>
          <t>Scenario Ottimistico</t>
        </is>
      </c>
      <c r="C49" s="24" t="n">
        <v>1400</v>
      </c>
      <c r="D49" s="24">
        <f>C49*C16+C18</f>
        <v/>
      </c>
      <c r="E49" s="24">
        <f>(D49-E21-E24)</f>
        <v/>
      </c>
      <c r="F49" s="25">
        <f>IFERROR(D49/C12*100,0)</f>
        <v/>
      </c>
    </row>
    <row r="50" ht="20" customHeight="1">
      <c r="B50" s="20" t="inlineStr">
        <is>
          <t>Scenario Eccellente</t>
        </is>
      </c>
      <c r="C50" s="21" t="n">
        <v>1600</v>
      </c>
      <c r="D50" s="21">
        <f>C50*C16+C18</f>
        <v/>
      </c>
      <c r="E50" s="21">
        <f>(D50-E21-E24)</f>
        <v/>
      </c>
      <c r="F50" s="22">
        <f>IFERROR(D50/C12*100,0)</f>
        <v/>
      </c>
    </row>
    <row r="51" ht="20" customHeight="1"/>
    <row r="52" ht="20" customHeight="1">
      <c r="B52" s="4" t="inlineStr">
        <is>
          <t>PROIEZIONE PATRIMONIALE (10 anni)</t>
        </is>
      </c>
    </row>
    <row r="53" ht="20" customHeight="1">
      <c r="B53" s="3" t="inlineStr">
        <is>
          <t>Anno</t>
        </is>
      </c>
      <c r="C53" s="3" t="inlineStr">
        <is>
          <t>Valore Immobile (€)</t>
        </is>
      </c>
      <c r="D53" s="3" t="inlineStr">
        <is>
          <t>Residuo Mutuo (€)</t>
        </is>
      </c>
      <c r="E53" s="3" t="inlineStr">
        <is>
          <t>Equity (€)</t>
        </is>
      </c>
      <c r="F53" s="3" t="inlineStr">
        <is>
          <t>Redidito Cumulato (€)</t>
        </is>
      </c>
      <c r="G53" s="3" t="inlineStr">
        <is>
          <t>Rendimento Totale %</t>
        </is>
      </c>
    </row>
    <row r="54" ht="20" customHeight="1">
      <c r="B54" s="26" t="inlineStr">
        <is>
          <t>Anno 1</t>
        </is>
      </c>
      <c r="C54" s="24">
        <f>C7*(1+0.02)^1</f>
        <v/>
      </c>
      <c r="D54" s="24">
        <f>IF(E6=0,0,MAX(E6-E11*1*12,0))</f>
        <v/>
      </c>
      <c r="E54" s="24">
        <f>C54-D54</f>
        <v/>
      </c>
      <c r="F54" s="24">
        <f>C29*1</f>
        <v/>
      </c>
      <c r="G54" s="25">
        <f>IFERROR((E54+C54-C7)/C12*100,0)</f>
        <v/>
      </c>
    </row>
    <row r="55" ht="20" customHeight="1">
      <c r="B55" s="27" t="inlineStr">
        <is>
          <t>Anno 2</t>
        </is>
      </c>
      <c r="C55" s="21">
        <f>C7*(1+0.02)^2</f>
        <v/>
      </c>
      <c r="D55" s="21">
        <f>IF(E6=0,0,MAX(E6-E11*2*12,0))</f>
        <v/>
      </c>
      <c r="E55" s="21">
        <f>C55-D55</f>
        <v/>
      </c>
      <c r="F55" s="21">
        <f>C29*2</f>
        <v/>
      </c>
      <c r="G55" s="22">
        <f>IFERROR((E55+C55-C7)/C12*100,0)</f>
        <v/>
      </c>
    </row>
    <row r="56" ht="20" customHeight="1">
      <c r="B56" s="26" t="inlineStr">
        <is>
          <t>Anno 3</t>
        </is>
      </c>
      <c r="C56" s="24">
        <f>C7*(1+0.02)^3</f>
        <v/>
      </c>
      <c r="D56" s="24">
        <f>IF(E6=0,0,MAX(E6-E11*3*12,0))</f>
        <v/>
      </c>
      <c r="E56" s="24">
        <f>C56-D56</f>
        <v/>
      </c>
      <c r="F56" s="24">
        <f>C29*3</f>
        <v/>
      </c>
      <c r="G56" s="25">
        <f>IFERROR((E56+C56-C7)/C12*100,0)</f>
        <v/>
      </c>
    </row>
    <row r="57" ht="20" customHeight="1">
      <c r="B57" s="27" t="inlineStr">
        <is>
          <t>Anno 4</t>
        </is>
      </c>
      <c r="C57" s="21">
        <f>C7*(1+0.02)^4</f>
        <v/>
      </c>
      <c r="D57" s="21">
        <f>IF(E6=0,0,MAX(E6-E11*4*12,0))</f>
        <v/>
      </c>
      <c r="E57" s="21">
        <f>C57-D57</f>
        <v/>
      </c>
      <c r="F57" s="21">
        <f>C29*4</f>
        <v/>
      </c>
      <c r="G57" s="22">
        <f>IFERROR((E57+C57-C7)/C12*100,0)</f>
        <v/>
      </c>
    </row>
    <row r="58" ht="20" customHeight="1">
      <c r="B58" s="26" t="inlineStr">
        <is>
          <t>Anno 5</t>
        </is>
      </c>
      <c r="C58" s="24">
        <f>C7*(1+0.02)^5</f>
        <v/>
      </c>
      <c r="D58" s="24">
        <f>IF(E6=0,0,MAX(E6-E11*5*12,0))</f>
        <v/>
      </c>
      <c r="E58" s="24">
        <f>C58-D58</f>
        <v/>
      </c>
      <c r="F58" s="24">
        <f>C29*5</f>
        <v/>
      </c>
      <c r="G58" s="25">
        <f>IFERROR((E58+C58-C7)/C12*100,0)</f>
        <v/>
      </c>
    </row>
    <row r="59" ht="20" customHeight="1">
      <c r="B59" s="27" t="inlineStr">
        <is>
          <t>Anno 6</t>
        </is>
      </c>
      <c r="C59" s="21">
        <f>C7*(1+0.02)^6</f>
        <v/>
      </c>
      <c r="D59" s="21">
        <f>IF(E6=0,0,MAX(E6-E11*6*12,0))</f>
        <v/>
      </c>
      <c r="E59" s="21">
        <f>C59-D59</f>
        <v/>
      </c>
      <c r="F59" s="21">
        <f>C29*6</f>
        <v/>
      </c>
      <c r="G59" s="22">
        <f>IFERROR((E59+C59-C7)/C12*100,0)</f>
        <v/>
      </c>
    </row>
    <row r="60" ht="20" customHeight="1">
      <c r="B60" s="26" t="inlineStr">
        <is>
          <t>Anno 7</t>
        </is>
      </c>
      <c r="C60" s="24">
        <f>C7*(1+0.02)^7</f>
        <v/>
      </c>
      <c r="D60" s="24">
        <f>IF(E6=0,0,MAX(E6-E11*7*12,0))</f>
        <v/>
      </c>
      <c r="E60" s="24">
        <f>C60-D60</f>
        <v/>
      </c>
      <c r="F60" s="24">
        <f>C29*7</f>
        <v/>
      </c>
      <c r="G60" s="25">
        <f>IFERROR((E60+C60-C7)/C12*100,0)</f>
        <v/>
      </c>
    </row>
    <row r="61" ht="20" customHeight="1">
      <c r="B61" s="27" t="inlineStr">
        <is>
          <t>Anno 8</t>
        </is>
      </c>
      <c r="C61" s="21">
        <f>C7*(1+0.02)^8</f>
        <v/>
      </c>
      <c r="D61" s="21">
        <f>IF(E6=0,0,MAX(E6-E11*8*12,0))</f>
        <v/>
      </c>
      <c r="E61" s="21">
        <f>C61-D61</f>
        <v/>
      </c>
      <c r="F61" s="21">
        <f>C29*8</f>
        <v/>
      </c>
      <c r="G61" s="22">
        <f>IFERROR((E61+C61-C7)/C12*100,0)</f>
        <v/>
      </c>
    </row>
    <row r="62" ht="20" customHeight="1">
      <c r="B62" s="26" t="inlineStr">
        <is>
          <t>Anno 9</t>
        </is>
      </c>
      <c r="C62" s="24">
        <f>C7*(1+0.02)^9</f>
        <v/>
      </c>
      <c r="D62" s="24">
        <f>IF(E6=0,0,MAX(E6-E11*9*12,0))</f>
        <v/>
      </c>
      <c r="E62" s="24">
        <f>C62-D62</f>
        <v/>
      </c>
      <c r="F62" s="24">
        <f>C29*9</f>
        <v/>
      </c>
      <c r="G62" s="25">
        <f>IFERROR((E62+C62-C7)/C12*100,0)</f>
        <v/>
      </c>
    </row>
    <row r="63" ht="20" customHeight="1">
      <c r="B63" s="27" t="inlineStr">
        <is>
          <t>Anno 10</t>
        </is>
      </c>
      <c r="C63" s="21">
        <f>C7*(1+0.02)^10</f>
        <v/>
      </c>
      <c r="D63" s="21">
        <f>IF(E6=0,0,MAX(E6-E11*10*12,0))</f>
        <v/>
      </c>
      <c r="E63" s="21">
        <f>C63-D63</f>
        <v/>
      </c>
      <c r="F63" s="21">
        <f>C29*10</f>
        <v/>
      </c>
      <c r="G63" s="22">
        <f>IFERROR((E63+C63-C7)/C12*100,0)</f>
        <v/>
      </c>
    </row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</sheetData>
  <mergeCells count="13">
    <mergeCell ref="B2:E2"/>
    <mergeCell ref="B3:E3"/>
    <mergeCell ref="B5:C5"/>
    <mergeCell ref="D5:E5"/>
    <mergeCell ref="D12:E12"/>
    <mergeCell ref="B14:C14"/>
    <mergeCell ref="D14:E14"/>
    <mergeCell ref="B23:E23"/>
    <mergeCell ref="B31:E31"/>
    <mergeCell ref="B37:E37"/>
    <mergeCell ref="D42:E42"/>
    <mergeCell ref="B44:E44"/>
    <mergeCell ref="B52:E52"/>
  </mergeCells>
  <conditionalFormatting sqref="C42">
    <cfRule type="expression" priority="1" dxfId="0">
      <formula>C42&gt;0</formula>
    </cfRule>
    <cfRule type="expression" priority="2" dxfId="1">
      <formula>C42&lt;0</formula>
    </cfRule>
  </conditionalFormatting>
  <conditionalFormatting sqref="F46:F50">
    <cfRule type="colorScale" priority="3">
      <colorScale>
        <cfvo type="min"/>
        <cfvo type="percentile" val="50"/>
        <cfvo type="max"/>
        <color rgb="00FEE2E2"/>
        <color rgb="00FFFBEB"/>
        <color rgb="00DCFCE7"/>
      </colorScale>
    </cfRule>
  </conditionalFormatting>
  <conditionalFormatting sqref="G54:G63">
    <cfRule type="colorScale" priority="4">
      <colorScale>
        <cfvo type="min"/>
        <cfvo type="percentile" val="50"/>
        <cfvo type="max"/>
        <color rgb="00FEE2E2"/>
        <color rgb="00FFFBEB"/>
        <color rgb="00DCFCE7"/>
      </colorScale>
    </cfRule>
  </conditionalFormatting>
  <dataValidations count="1">
    <dataValidation sqref="C24" showErrorMessage="1" showInputMessage="1" allowBlank="1" type="list">
      <formula1>"IRPEF ordinario,Cedolare secca 21%,Cedolare secca 10% (canone concordato)"</formula1>
    </dataValidation>
  </dataValidations>
  <pageMargins left="0.75" right="0.75" top="1" bottom="1" header="0.5" footer="0.5"/>
  <pageSetup orientation="portrait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13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</cols>
  <sheetData>
    <row r="1" ht="30" customHeight="1">
      <c r="A1" s="28" t="inlineStr">
        <is>
          <t>GRAFICI DI ANALISI</t>
        </is>
      </c>
    </row>
    <row r="3">
      <c r="A3" s="5" t="inlineStr">
        <is>
          <t>Gross Yield</t>
        </is>
      </c>
      <c r="B3" s="17">
        <f>'Calcolo Rendimento'!C32</f>
        <v/>
      </c>
      <c r="D3" s="3" t="inlineStr">
        <is>
          <t>Anno</t>
        </is>
      </c>
      <c r="E3" s="3" t="inlineStr">
        <is>
          <t>Valore Immobile</t>
        </is>
      </c>
      <c r="F3" s="3" t="inlineStr">
        <is>
          <t>Equity</t>
        </is>
      </c>
      <c r="G3" s="3" t="inlineStr">
        <is>
          <t>Reddito Cumulato</t>
        </is>
      </c>
    </row>
    <row r="4">
      <c r="A4" s="5" t="inlineStr">
        <is>
          <t>Net Yield</t>
        </is>
      </c>
      <c r="B4" s="17">
        <f>'Calcolo Rendimento'!C33</f>
        <v/>
      </c>
      <c r="D4" s="26" t="inlineStr">
        <is>
          <t>Anno 1</t>
        </is>
      </c>
      <c r="E4" s="24">
        <f>'Calcolo Rendimento'!C54</f>
        <v/>
      </c>
      <c r="F4" s="24">
        <f>'Calcolo Rendimento'!E54</f>
        <v/>
      </c>
      <c r="G4" s="24">
        <f>'Calcolo Rendimento'!F54</f>
        <v/>
      </c>
    </row>
    <row r="5">
      <c r="A5" s="5" t="inlineStr">
        <is>
          <t>Net Yield Fiscale</t>
        </is>
      </c>
      <c r="B5" s="17">
        <f>'Calcolo Rendimento'!C34</f>
        <v/>
      </c>
      <c r="D5" s="27" t="inlineStr">
        <is>
          <t>Anno 2</t>
        </is>
      </c>
      <c r="E5" s="21">
        <f>'Calcolo Rendimento'!C55</f>
        <v/>
      </c>
      <c r="F5" s="21">
        <f>'Calcolo Rendimento'!E55</f>
        <v/>
      </c>
      <c r="G5" s="21">
        <f>'Calcolo Rendimento'!F55</f>
        <v/>
      </c>
    </row>
    <row r="6">
      <c r="A6" s="5" t="inlineStr">
        <is>
          <t>Cash-on-Cash</t>
        </is>
      </c>
      <c r="B6" s="17">
        <f>'Calcolo Rendimento'!E32</f>
        <v/>
      </c>
      <c r="D6" s="26" t="inlineStr">
        <is>
          <t>Anno 3</t>
        </is>
      </c>
      <c r="E6" s="24">
        <f>'Calcolo Rendimento'!C56</f>
        <v/>
      </c>
      <c r="F6" s="24">
        <f>'Calcolo Rendimento'!E56</f>
        <v/>
      </c>
      <c r="G6" s="24">
        <f>'Calcolo Rendimento'!F56</f>
        <v/>
      </c>
    </row>
    <row r="7">
      <c r="A7" s="5" t="inlineStr">
        <is>
          <t>Cap Rate</t>
        </is>
      </c>
      <c r="B7" s="17">
        <f>'Calcolo Rendimento'!E33</f>
        <v/>
      </c>
      <c r="D7" s="27" t="inlineStr">
        <is>
          <t>Anno 4</t>
        </is>
      </c>
      <c r="E7" s="21">
        <f>'Calcolo Rendimento'!C57</f>
        <v/>
      </c>
      <c r="F7" s="21">
        <f>'Calcolo Rendimento'!E57</f>
        <v/>
      </c>
      <c r="G7" s="21">
        <f>'Calcolo Rendimento'!F57</f>
        <v/>
      </c>
    </row>
    <row r="8">
      <c r="D8" s="26" t="inlineStr">
        <is>
          <t>Anno 5</t>
        </is>
      </c>
      <c r="E8" s="24">
        <f>'Calcolo Rendimento'!C58</f>
        <v/>
      </c>
      <c r="F8" s="24">
        <f>'Calcolo Rendimento'!E58</f>
        <v/>
      </c>
      <c r="G8" s="24">
        <f>'Calcolo Rendimento'!F58</f>
        <v/>
      </c>
    </row>
    <row r="9">
      <c r="D9" s="27" t="inlineStr">
        <is>
          <t>Anno 6</t>
        </is>
      </c>
      <c r="E9" s="21">
        <f>'Calcolo Rendimento'!C59</f>
        <v/>
      </c>
      <c r="F9" s="21">
        <f>'Calcolo Rendimento'!E59</f>
        <v/>
      </c>
      <c r="G9" s="21">
        <f>'Calcolo Rendimento'!F59</f>
        <v/>
      </c>
    </row>
    <row r="10">
      <c r="D10" s="26" t="inlineStr">
        <is>
          <t>Anno 7</t>
        </is>
      </c>
      <c r="E10" s="24">
        <f>'Calcolo Rendimento'!C60</f>
        <v/>
      </c>
      <c r="F10" s="24">
        <f>'Calcolo Rendimento'!E60</f>
        <v/>
      </c>
      <c r="G10" s="24">
        <f>'Calcolo Rendimento'!F60</f>
        <v/>
      </c>
    </row>
    <row r="11">
      <c r="D11" s="27" t="inlineStr">
        <is>
          <t>Anno 8</t>
        </is>
      </c>
      <c r="E11" s="21">
        <f>'Calcolo Rendimento'!C61</f>
        <v/>
      </c>
      <c r="F11" s="21">
        <f>'Calcolo Rendimento'!E61</f>
        <v/>
      </c>
      <c r="G11" s="21">
        <f>'Calcolo Rendimento'!F61</f>
        <v/>
      </c>
    </row>
    <row r="12">
      <c r="D12" s="26" t="inlineStr">
        <is>
          <t>Anno 9</t>
        </is>
      </c>
      <c r="E12" s="24">
        <f>'Calcolo Rendimento'!C62</f>
        <v/>
      </c>
      <c r="F12" s="24">
        <f>'Calcolo Rendimento'!E62</f>
        <v/>
      </c>
      <c r="G12" s="24">
        <f>'Calcolo Rendimento'!F62</f>
        <v/>
      </c>
    </row>
    <row r="13">
      <c r="D13" s="27" t="inlineStr">
        <is>
          <t>Anno 10</t>
        </is>
      </c>
      <c r="E13" s="21">
        <f>'Calcolo Rendimento'!C63</f>
        <v/>
      </c>
      <c r="F13" s="21">
        <f>'Calcolo Rendimento'!E63</f>
        <v/>
      </c>
      <c r="G13" s="21">
        <f>'Calcolo Rendimento'!F63</f>
        <v/>
      </c>
    </row>
  </sheetData>
  <mergeCells count="1">
    <mergeCell ref="A1:J1"/>
  </mergeCells>
  <pageMargins left="0.75" right="0.75" top="1" bottom="1" header="0.5" footer="0.5"/>
  <pageSetup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18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35" customWidth="1" min="3" max="3"/>
    <col width="20" customWidth="1" min="4" max="4"/>
  </cols>
  <sheetData>
    <row r="1" ht="30" customHeight="1">
      <c r="A1" s="28" t="inlineStr">
        <is>
          <t>PARAMETRI DI RIFERIMENTO</t>
        </is>
      </c>
    </row>
    <row r="2" ht="20" customHeight="1">
      <c r="A2" s="29" t="inlineStr">
        <is>
          <t>BENCHMARK RENDIMENTI ITALIA</t>
        </is>
      </c>
      <c r="B2" s="4" t="inlineStr"/>
      <c r="C2" s="29" t="inlineStr">
        <is>
          <t>ALIQUOTE FISCALI STANDARD</t>
        </is>
      </c>
      <c r="D2" s="4" t="inlineStr"/>
    </row>
    <row r="3" ht="20" customHeight="1">
      <c r="A3" s="5" t="inlineStr">
        <is>
          <t>Rendimento lordo medio nazionale %</t>
        </is>
      </c>
      <c r="B3" s="30" t="inlineStr">
        <is>
          <t>4.50%</t>
        </is>
      </c>
      <c r="C3" s="5" t="inlineStr">
        <is>
          <t>IRPEF scaglione 1 (fino 28.000 €)</t>
        </is>
      </c>
      <c r="D3" s="30" t="inlineStr">
        <is>
          <t>23%</t>
        </is>
      </c>
    </row>
    <row r="4" ht="20" customHeight="1">
      <c r="A4" s="5" t="inlineStr">
        <is>
          <t>Rendimento lordo città principali %</t>
        </is>
      </c>
      <c r="B4" s="30" t="inlineStr">
        <is>
          <t>5.20%</t>
        </is>
      </c>
      <c r="C4" s="5" t="inlineStr">
        <is>
          <t>IRPEF scaglione 2 (28.001-50.000 €)</t>
        </is>
      </c>
      <c r="D4" s="30" t="inlineStr">
        <is>
          <t>35%</t>
        </is>
      </c>
    </row>
    <row r="5" ht="20" customHeight="1">
      <c r="A5" s="5" t="inlineStr">
        <is>
          <t>Rendimento lordo piccoli comuni %</t>
        </is>
      </c>
      <c r="B5" s="30" t="inlineStr">
        <is>
          <t>3.80%</t>
        </is>
      </c>
      <c r="C5" s="5" t="inlineStr">
        <is>
          <t>IRPEF scaglione 3 (oltre 50.000 €)</t>
        </is>
      </c>
      <c r="D5" s="30" t="inlineStr">
        <is>
          <t>43%</t>
        </is>
      </c>
    </row>
    <row r="6" ht="20" customHeight="1">
      <c r="A6" s="5" t="inlineStr">
        <is>
          <t>Rendimento netto medio nazionale %</t>
        </is>
      </c>
      <c r="B6" s="30" t="inlineStr">
        <is>
          <t>3.10%</t>
        </is>
      </c>
      <c r="C6" s="5" t="inlineStr">
        <is>
          <t>Cedolare secca standard</t>
        </is>
      </c>
      <c r="D6" s="30" t="inlineStr">
        <is>
          <t>21%</t>
        </is>
      </c>
    </row>
    <row r="7" ht="20" customHeight="1">
      <c r="A7" s="5" t="inlineStr">
        <is>
          <t>Rendimento ottimale target %</t>
        </is>
      </c>
      <c r="B7" s="30" t="inlineStr">
        <is>
          <t>6.00%</t>
        </is>
      </c>
      <c r="C7" s="5" t="inlineStr">
        <is>
          <t>Cedolare secca concordato</t>
        </is>
      </c>
      <c r="D7" s="30" t="inlineStr">
        <is>
          <t>10%</t>
        </is>
      </c>
    </row>
    <row r="8" ht="20" customHeight="1">
      <c r="A8" s="31" t="inlineStr"/>
      <c r="B8" s="30" t="inlineStr"/>
      <c r="C8" s="31" t="inlineStr"/>
      <c r="D8" s="30" t="inlineStr"/>
    </row>
    <row r="9" ht="20" customHeight="1">
      <c r="A9" s="29" t="inlineStr">
        <is>
          <t>COSTI STANDARD DI ACQUISTO</t>
        </is>
      </c>
      <c r="B9" s="4" t="inlineStr"/>
      <c r="C9" s="29" t="inlineStr">
        <is>
          <t>VACANCY RATE MEDI</t>
        </is>
      </c>
      <c r="D9" s="4" t="inlineStr"/>
    </row>
    <row r="10" ht="20" customHeight="1">
      <c r="A10" s="5" t="inlineStr">
        <is>
          <t>Imposta registro (prima casa) %</t>
        </is>
      </c>
      <c r="B10" s="30" t="inlineStr">
        <is>
          <t>2%</t>
        </is>
      </c>
      <c r="C10" s="5" t="inlineStr">
        <is>
          <t>Grandi città (Milano, Roma)</t>
        </is>
      </c>
      <c r="D10" s="30" t="inlineStr">
        <is>
          <t>5%</t>
        </is>
      </c>
    </row>
    <row r="11" ht="20" customHeight="1">
      <c r="A11" s="5" t="inlineStr">
        <is>
          <t>Imposta registro (seconda casa) %</t>
        </is>
      </c>
      <c r="B11" s="30" t="inlineStr">
        <is>
          <t>9%</t>
        </is>
      </c>
      <c r="C11" s="5" t="inlineStr">
        <is>
          <t>Città medie</t>
        </is>
      </c>
      <c r="D11" s="30" t="inlineStr">
        <is>
          <t>8%</t>
        </is>
      </c>
    </row>
    <row r="12" ht="20" customHeight="1">
      <c r="A12" s="5" t="inlineStr">
        <is>
          <t>Onorario notaio medio (€)</t>
        </is>
      </c>
      <c r="B12" s="30" t="inlineStr">
        <is>
          <t>2.500 €</t>
        </is>
      </c>
      <c r="C12" s="5" t="inlineStr">
        <is>
          <t>Piccoli comuni</t>
        </is>
      </c>
      <c r="D12" s="30" t="inlineStr">
        <is>
          <t>12%</t>
        </is>
      </c>
    </row>
    <row r="13" ht="20" customHeight="1">
      <c r="A13" s="5" t="inlineStr">
        <is>
          <t>IVA acquisto da costruttore %</t>
        </is>
      </c>
      <c r="B13" s="30" t="inlineStr">
        <is>
          <t>4% / 10%</t>
        </is>
      </c>
      <c r="C13" s="5" t="inlineStr">
        <is>
          <t>Media nazionale</t>
        </is>
      </c>
      <c r="D13" s="30" t="inlineStr">
        <is>
          <t>7%</t>
        </is>
      </c>
    </row>
    <row r="14" ht="20" customHeight="1">
      <c r="A14" s="31" t="inlineStr"/>
      <c r="B14" s="30" t="inlineStr"/>
      <c r="C14" s="31" t="inlineStr"/>
      <c r="D14" s="30" t="inlineStr"/>
    </row>
    <row r="15" ht="20" customHeight="1">
      <c r="A15" s="29" t="inlineStr">
        <is>
          <t>RIVALUTAZIONE IMMOBILIARE</t>
        </is>
      </c>
      <c r="B15" s="4" t="inlineStr"/>
      <c r="C15" s="29" t="inlineStr">
        <is>
          <t>TASSI MUTUO INDICATIVI</t>
        </is>
      </c>
      <c r="D15" s="4" t="inlineStr"/>
    </row>
    <row r="16" ht="20" customHeight="1">
      <c r="A16" s="5" t="inlineStr">
        <is>
          <t>Rivalutazione media annua %</t>
        </is>
      </c>
      <c r="B16" s="30" t="inlineStr">
        <is>
          <t>2.0%</t>
        </is>
      </c>
      <c r="C16" s="5" t="inlineStr">
        <is>
          <t>Tasso fisso (20 anni)</t>
        </is>
      </c>
      <c r="D16" s="30" t="inlineStr">
        <is>
          <t>3.20%</t>
        </is>
      </c>
    </row>
    <row r="17" ht="20" customHeight="1">
      <c r="A17" s="5" t="inlineStr">
        <is>
          <t>Rivalutazione città A %</t>
        </is>
      </c>
      <c r="B17" s="30" t="inlineStr">
        <is>
          <t>3.5%</t>
        </is>
      </c>
      <c r="C17" s="5" t="inlineStr">
        <is>
          <t>Tasso variabile (Euribor+spread)</t>
        </is>
      </c>
      <c r="D17" s="30" t="inlineStr">
        <is>
          <t>2.80%</t>
        </is>
      </c>
    </row>
    <row r="18" ht="20" customHeight="1">
      <c r="A18" s="5" t="inlineStr">
        <is>
          <t>Rivalutazione mercato stagnante %</t>
        </is>
      </c>
      <c r="B18" s="30" t="inlineStr">
        <is>
          <t>0.5%</t>
        </is>
      </c>
      <c r="C18" s="5" t="inlineStr">
        <is>
          <t>Tasso misto</t>
        </is>
      </c>
      <c r="D18" s="30" t="inlineStr">
        <is>
          <t>3.00%</t>
        </is>
      </c>
    </row>
  </sheetData>
  <mergeCells count="1">
    <mergeCell ref="A1:D1"/>
  </mergeCells>
  <pageMargins left="0.75" right="0.75" top="1" bottom="1" header="0.5" footer="0.5"/>
  <pageSetup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1:C2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50" customWidth="1" min="2" max="2"/>
    <col width="60" customWidth="1" min="3" max="3"/>
  </cols>
  <sheetData>
    <row r="1" ht="35" customHeight="1">
      <c r="B1" s="28" t="inlineStr">
        <is>
          <t>GUIDA ALL'UTILIZZO — CALCOLATORE RENDIMENTO AFFITTO</t>
        </is>
      </c>
    </row>
    <row r="2" ht="18" customHeight="1">
      <c r="B2" s="2" t="inlineStr">
        <is>
          <t>Versione aggiornata al 16/03/2026</t>
        </is>
      </c>
    </row>
    <row r="4" ht="24" customHeight="1">
      <c r="B4" s="32" t="inlineStr">
        <is>
          <t>COME USARE IL CALCOLATORE</t>
        </is>
      </c>
    </row>
    <row r="5" ht="40" customHeight="1">
      <c r="B5" s="5" t="inlineStr">
        <is>
          <t>1. DATI IMMOBILE</t>
        </is>
      </c>
      <c r="C5" s="31" t="inlineStr">
        <is>
          <t>Inserire nella sezione 'Dati Immobile' il prezzo di acquisto, le spese notarili e le eventuali spese di ristrutturazione. Il totale investimento viene calcolato automaticamente.</t>
        </is>
      </c>
    </row>
    <row r="6" ht="40" customHeight="1">
      <c r="B6" s="5" t="inlineStr">
        <is>
          <t>2. FINANZIAMENTO</t>
        </is>
      </c>
      <c r="C6" s="31" t="inlineStr">
        <is>
          <t>Se l'acquisto è finanziato con mutuo, inserire l'importo del mutuo, il tasso di interesse annuo e la durata. La rata mensile, gli interessi totali e la quota capitale vengono calcolati automaticamente.</t>
        </is>
      </c>
    </row>
    <row r="7" ht="40" customHeight="1">
      <c r="B7" s="5" t="inlineStr">
        <is>
          <t>3. ENTRATE</t>
        </is>
      </c>
      <c r="C7" s="31" t="inlineStr">
        <is>
          <t>Inserire il canone mensile lordo concordato e i mesi di occupazione previsti (default 11 mesi per vacanza). Il tasso vacancy rappresenta il rischio di sfitto.</t>
        </is>
      </c>
    </row>
    <row r="8" ht="40" customHeight="1">
      <c r="B8" s="5" t="inlineStr">
        <is>
          <t>4. SPESE</t>
        </is>
      </c>
      <c r="C8" s="31" t="inlineStr">
        <is>
          <t>Inserire tutte le voci di spesa annuale: IMU/TASI, assicurazione, spese condominiali, manutenzione, commissioni agenzia immobiliare.</t>
        </is>
      </c>
    </row>
    <row r="9" ht="40" customHeight="1">
      <c r="B9" s="5" t="inlineStr">
        <is>
          <t>5. REGIME FISCALE</t>
        </is>
      </c>
      <c r="C9" s="31" t="inlineStr">
        <is>
          <t>Selezionare dal menu a tendina il regime fiscale. La cedolare secca (21% ordinaria, 10% concordato) è spesso conveniente rispetto all'IRPEF ordinario.</t>
        </is>
      </c>
    </row>
    <row r="10" ht="24" customHeight="1">
      <c r="B10" s="32" t="inlineStr">
        <is>
          <t>INDICATORI CHIAVE</t>
        </is>
      </c>
    </row>
    <row r="11" ht="40" customHeight="1">
      <c r="B11" s="5" t="inlineStr">
        <is>
          <t>Gross Yield (Rendimento Lordo)</t>
        </is>
      </c>
      <c r="C11" s="31" t="inlineStr">
        <is>
          <t>Rapporto tra canone annuo lordo e prezzo di acquisto. Indicatore base per confrontare immobili. Valore target: &gt; 5%.</t>
        </is>
      </c>
    </row>
    <row r="12" ht="40" customHeight="1">
      <c r="B12" s="5" t="inlineStr">
        <is>
          <t>Net Yield (Rendimento Netto)</t>
        </is>
      </c>
      <c r="C12" s="31" t="inlineStr">
        <is>
          <t>Come il Gross Yield ma al netto di tutte le spese operative. Valore target: &gt; 3.5%.</t>
        </is>
      </c>
    </row>
    <row r="13" ht="40" customHeight="1">
      <c r="B13" s="5" t="inlineStr">
        <is>
          <t>Cap Rate</t>
        </is>
      </c>
      <c r="C13" s="31" t="inlineStr">
        <is>
          <t>Simile al Net Yield ma calcolato sul prezzo di acquisto puro senza spese accessorie. Usato per valutazioni professionali.</t>
        </is>
      </c>
    </row>
    <row r="14" ht="40" customHeight="1">
      <c r="B14" s="5" t="inlineStr">
        <is>
          <t>Cash-on-Cash Return</t>
        </is>
      </c>
      <c r="C14" s="31" t="inlineStr">
        <is>
          <t>Rapporto tra il flusso di cassa netto (dopo rimborso mutuo) e l'investimento totale. Essenziale per investimenti con leva finanziaria.</t>
        </is>
      </c>
    </row>
    <row r="15" ht="40" customHeight="1">
      <c r="B15" s="5" t="inlineStr">
        <is>
          <t>ROI Complessivo</t>
        </is>
      </c>
      <c r="C15" s="31" t="inlineStr">
        <is>
          <t>Considera sia il reddito da locazione che la rivalutazione dell'immobile. Visione completa del ritorno sull'investimento.</t>
        </is>
      </c>
    </row>
    <row r="16" ht="40" customHeight="1">
      <c r="B16" s="5" t="inlineStr">
        <is>
          <t>Payback Period</t>
        </is>
      </c>
      <c r="C16" s="31" t="inlineStr">
        <is>
          <t>Anni necessari per recuperare l'intero investimento attraverso i redditi netti. Obiettivo: inferiore a 20 anni.</t>
        </is>
      </c>
    </row>
    <row r="17" ht="24" customHeight="1">
      <c r="B17" s="32" t="inlineStr">
        <is>
          <t>CONSIGLI PRATICI</t>
        </is>
      </c>
    </row>
    <row r="18" ht="40" customHeight="1">
      <c r="B18" s="5" t="inlineStr">
        <is>
          <t>Diversificazione rischi</t>
        </is>
      </c>
      <c r="C18" s="31" t="inlineStr">
        <is>
          <t>Mantenere sempre una riserva di liquidità pari ad almeno 3 mesi di canone per coprire periodi di sfitto e spese straordinarie.</t>
        </is>
      </c>
    </row>
    <row r="19" ht="40" customHeight="1">
      <c r="B19" s="5" t="inlineStr">
        <is>
          <t>Ottimizzazione fiscale</t>
        </is>
      </c>
      <c r="C19" s="31" t="inlineStr">
        <is>
          <t>Valutare sempre la cedolare secca, soprattutto con canone concordato (10%). Per immobili in zone B2, C il canone concordato può essere conveniente.</t>
        </is>
      </c>
    </row>
    <row r="20" ht="40" customHeight="1">
      <c r="B20" s="5" t="inlineStr">
        <is>
          <t>Monitoraggio</t>
        </is>
      </c>
      <c r="C20" s="31" t="inlineStr">
        <is>
          <t>Aggiornare periodicamente il valore di mercato attuale nella cella C11 per monitorare la plusvalenza latente e il ROI reale.</t>
        </is>
      </c>
    </row>
    <row r="21" ht="40" customHeight="1">
      <c r="B21" s="5" t="inlineStr">
        <is>
          <t>Scenario analysis</t>
        </is>
      </c>
      <c r="C21" s="31" t="inlineStr">
        <is>
          <t>Utilizzare il foglio 'Confronto Scenari' per analizzare l'impatto di canoni diversi sul rendimento prima di fissare il prezzo.</t>
        </is>
      </c>
    </row>
  </sheetData>
  <mergeCells count="5">
    <mergeCell ref="B1:C1"/>
    <mergeCell ref="B2:C2"/>
    <mergeCell ref="B4:C4"/>
    <mergeCell ref="B10:C10"/>
    <mergeCell ref="B17:C17"/>
  </mergeCells>
  <pageMargins left="0.75" right="0.75" top="1" bottom="1" header="0.5" footer="0.5"/>
  <pageSetup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2026-03-16T12:48:58Z</dcterms:created>
  <dcterms:modified xmlns:dcterms="http://purl.org/dc/terms/" xmlns:xsi="http://www.w3.org/2001/XMLSchema-instance" xsi:type="dcterms:W3CDTF">2026-03-16T12:48:58Z</dcterms:modified>
</cp:coreProperties>
</file>